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xr:revisionPtr revIDLastSave="0" documentId="8_{434C8715-73E6-D54B-B925-9D07E952E4DA}" xr6:coauthVersionLast="47" xr6:coauthVersionMax="47" xr10:uidLastSave="{00000000-0000-0000-0000-000000000000}"/>
  <bookViews>
    <workbookView xWindow="0" yWindow="0" windowWidth="0" windowHeight="0" xr2:uid="{00000000-000D-0000-FFFF-FFFF00000000}"/>
  </bookViews>
  <sheets>
    <sheet name="Cálculo" sheetId="1" r:id="rId1"/>
    <sheet name="Justificación" sheetId="2" r:id="rId2"/>
    <sheet name="costos fijos y variables" sheetId="3" r:id="rId3"/>
    <sheet name="precios minimos" sheetId="4"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8" roundtripDataSignature="AMtx7mh4Snr5wL+O1Qb4aHnKKv13Nsp4Qw=="/>
    </ext>
  </extLst>
</workbook>
</file>

<file path=xl/calcChain.xml><?xml version="1.0" encoding="utf-8"?>
<calcChain xmlns="http://schemas.openxmlformats.org/spreadsheetml/2006/main">
  <c r="C15" i="4" l="1"/>
  <c r="B39" i="3"/>
  <c r="D39" i="3"/>
  <c r="E39" i="3"/>
  <c r="D38" i="3"/>
  <c r="E38" i="3"/>
  <c r="D37" i="3"/>
  <c r="E37" i="3"/>
  <c r="D28" i="3"/>
  <c r="F28" i="3"/>
  <c r="D29" i="3"/>
  <c r="F29" i="3"/>
  <c r="D30" i="3"/>
  <c r="F30" i="3"/>
  <c r="D31" i="3"/>
  <c r="F31" i="3"/>
  <c r="F32" i="3"/>
  <c r="E28" i="3"/>
  <c r="E29" i="3"/>
  <c r="E30" i="3"/>
  <c r="E31" i="3"/>
  <c r="E32" i="3"/>
  <c r="C32" i="3"/>
  <c r="B32" i="3"/>
  <c r="M30" i="3"/>
  <c r="M29" i="3"/>
  <c r="E19" i="3"/>
  <c r="E20" i="3"/>
  <c r="E21" i="3"/>
  <c r="E22" i="3"/>
  <c r="E23" i="3"/>
  <c r="D23" i="3"/>
  <c r="B25" i="3"/>
  <c r="C24" i="3"/>
  <c r="H23" i="3"/>
  <c r="C23" i="3"/>
  <c r="D4" i="3"/>
  <c r="D5" i="3"/>
  <c r="D6" i="3"/>
  <c r="D7" i="3"/>
  <c r="D8" i="3"/>
  <c r="D9" i="3"/>
  <c r="D10" i="3"/>
  <c r="D11" i="3"/>
  <c r="D12" i="3"/>
  <c r="D13" i="3"/>
  <c r="D14" i="3"/>
  <c r="B8" i="1"/>
  <c r="B9" i="1"/>
  <c r="B10" i="1"/>
  <c r="B11" i="1"/>
  <c r="B14" i="1"/>
  <c r="B16" i="1"/>
  <c r="B34" i="1"/>
  <c r="D19" i="1"/>
  <c r="B19" i="1"/>
  <c r="D20" i="1"/>
  <c r="B20" i="1"/>
  <c r="B21" i="1"/>
  <c r="B22" i="1"/>
  <c r="D24" i="1"/>
  <c r="B24" i="1"/>
  <c r="D23" i="1"/>
  <c r="B23" i="1"/>
  <c r="B25" i="1"/>
  <c r="B30" i="1"/>
  <c r="B35" i="1"/>
  <c r="B36" i="1"/>
  <c r="H21" i="1"/>
  <c r="H3" i="1"/>
  <c r="H8" i="1"/>
  <c r="H20" i="1"/>
  <c r="I22" i="1"/>
  <c r="H18" i="1"/>
  <c r="H19" i="1"/>
  <c r="I23" i="1"/>
  <c r="H22" i="1"/>
  <c r="H17" i="1"/>
  <c r="K6" i="1"/>
  <c r="K8" i="1"/>
  <c r="K7" i="1"/>
  <c r="K9" i="1"/>
  <c r="K10" i="1"/>
  <c r="K11" i="1"/>
  <c r="K12" i="1"/>
  <c r="K13" i="1"/>
  <c r="K14" i="1"/>
  <c r="J6" i="1"/>
  <c r="J8" i="1"/>
  <c r="J7" i="1"/>
  <c r="J9" i="1"/>
  <c r="J10" i="1"/>
  <c r="J11" i="1"/>
  <c r="J12" i="1"/>
  <c r="J13" i="1"/>
  <c r="J14" i="1"/>
  <c r="I6" i="1"/>
  <c r="I8" i="1"/>
  <c r="I7" i="1"/>
  <c r="I9" i="1"/>
  <c r="I10" i="1"/>
  <c r="I11" i="1"/>
  <c r="I12" i="1"/>
  <c r="I13" i="1"/>
  <c r="I14" i="1"/>
  <c r="H6" i="1"/>
  <c r="H7" i="1"/>
  <c r="H9" i="1"/>
  <c r="H10" i="1"/>
  <c r="H11" i="1"/>
  <c r="H12" i="1"/>
  <c r="H13" i="1"/>
  <c r="H14" i="1"/>
  <c r="K4" i="1"/>
  <c r="K5" i="1"/>
  <c r="J4" i="1"/>
  <c r="J5" i="1"/>
  <c r="I4" i="1"/>
  <c r="I5" i="1"/>
  <c r="H4" i="1"/>
  <c r="H5" i="1"/>
</calcChain>
</file>

<file path=xl/sharedStrings.xml><?xml version="1.0" encoding="utf-8"?>
<sst xmlns="http://schemas.openxmlformats.org/spreadsheetml/2006/main" count="181" uniqueCount="158">
  <si>
    <t>rhjn99ik7</t>
  </si>
  <si>
    <t>Proyección Financiera</t>
  </si>
  <si>
    <t>Las celdas en rojo no se editan ya que se calculan automáticamente</t>
  </si>
  <si>
    <t>Escenarios:</t>
  </si>
  <si>
    <t>Escenario PE</t>
  </si>
  <si>
    <t>Escenario Pesimista</t>
  </si>
  <si>
    <t>Escenario Optimista</t>
  </si>
  <si>
    <t>Escenario Proyectado</t>
  </si>
  <si>
    <t>Las celdas pintadas en verde son las que debés completar</t>
  </si>
  <si>
    <t>Unidades Objetivo</t>
  </si>
  <si>
    <t>Poner Q unidades de los escenarios</t>
  </si>
  <si>
    <t>Unidades/Módulo</t>
  </si>
  <si>
    <t>Unidades/Módulo/Persona</t>
  </si>
  <si>
    <t>Costos Fijos</t>
  </si>
  <si>
    <t>Estudiantes Totales</t>
  </si>
  <si>
    <t>Ingresos</t>
  </si>
  <si>
    <t>Módulos</t>
  </si>
  <si>
    <t>Sueldo Director General</t>
  </si>
  <si>
    <t>Costos Variables</t>
  </si>
  <si>
    <t>Sueldos Directores</t>
  </si>
  <si>
    <t>Costos Totales</t>
  </si>
  <si>
    <t>Salarios</t>
  </si>
  <si>
    <t>Ganancia antes de Impuestos</t>
  </si>
  <si>
    <t>Total Sueldos y Salarios</t>
  </si>
  <si>
    <t>Impuestos</t>
  </si>
  <si>
    <t>Stand ferias / Publicidad</t>
  </si>
  <si>
    <t>Resultado Proyectado</t>
  </si>
  <si>
    <t>Movilidad eventos extra áulicos del programa</t>
  </si>
  <si>
    <t>Valor de Acción Proyectada</t>
  </si>
  <si>
    <t>Herramientas</t>
  </si>
  <si>
    <t>Rentabilidad Proyectada</t>
  </si>
  <si>
    <t>Otros (impresiones, premios, etc.)</t>
  </si>
  <si>
    <t>Total Costos Fijos</t>
  </si>
  <si>
    <t>Capitalización:</t>
  </si>
  <si>
    <t>Objetivo = PE</t>
  </si>
  <si>
    <t>$ costo unitario</t>
  </si>
  <si>
    <t>Q a usar del insumo por producto</t>
  </si>
  <si>
    <t>Acciones Internas</t>
  </si>
  <si>
    <t>Costo Variable Unitario</t>
  </si>
  <si>
    <t>Insumo 1: cuencos (costos de este insumo por unidad producida)</t>
  </si>
  <si>
    <t>Acciones Externas</t>
  </si>
  <si>
    <t>Insumo 2: vela por dentro (costos de este insumo por unidad producida)</t>
  </si>
  <si>
    <t>Costos Variables (al PE)</t>
  </si>
  <si>
    <t>Insumo 3: piedra (costos de este insumo por unidad producida)</t>
  </si>
  <si>
    <t>Insumo 4: etiqueta plantable (costos de este insumo por unidad producida)</t>
  </si>
  <si>
    <t>Total Capital Inicial (PE)</t>
  </si>
  <si>
    <t>Insumo 5: Decoración del cuenco (costos de este insumo por unidad producida)</t>
  </si>
  <si>
    <t>Valor de Acción</t>
  </si>
  <si>
    <t>Insumo 6: Packaging insumos (costos de este insumo por unidad producida)</t>
  </si>
  <si>
    <t>Insumo 7: Propuesta de valor (costos de este insumo por unidad producida)</t>
  </si>
  <si>
    <t>Supuestos de este cálculo de desarrollo de capital inicial:</t>
  </si>
  <si>
    <t>Insumo 8: Propuesta de valor (costos de este insumo por unidad producida)</t>
  </si>
  <si>
    <t>cantidad de acciones emitidas = el doble que la cantidad de miembros de tu emprendimiento</t>
  </si>
  <si>
    <t>Comisión por venta</t>
  </si>
  <si>
    <t>capital inicial = para cubrir el total de tus costos fijos + los costos variables hasta alcanzar PE (para después reinvertir para seguir produciendo)</t>
  </si>
  <si>
    <t>Costos asociados a la cobranza de venta unitaria (Mercado Pago, Posnet, Tarjetas, etc.)</t>
  </si>
  <si>
    <t>*si querés, podés modificar cualquiera de estos supuestos</t>
  </si>
  <si>
    <t>Costos asociados a distribución y entrega unitaria</t>
  </si>
  <si>
    <t>**ver también el cálculo que se desprende en el SGME como sugerencia de valor de acción</t>
  </si>
  <si>
    <t>Precio</t>
  </si>
  <si>
    <t>No puede ser menor al costo variable unitario, debe contemplar margen para costos fijos + % de ganancia + riesgos</t>
  </si>
  <si>
    <t>Punto de Equilibrio</t>
  </si>
  <si>
    <t>(Qe)</t>
  </si>
  <si>
    <t>Contribución Marginal Unitaria (Precio - CVU)</t>
  </si>
  <si>
    <t>Unidades (CF/CMU)</t>
  </si>
  <si>
    <t>Qe = cantidades en las mis Costos Totales son Iguales a mis Ingresos</t>
  </si>
  <si>
    <t>Por debajo de las Qe estaremos en zona de Pérdidas</t>
  </si>
  <si>
    <t xml:space="preserve">Por encima de las Qe estaremos en zona de Ganacias </t>
  </si>
  <si>
    <t>Si entendés que los márgenes de ganancias, los escenarios de producción y/o ventas no son los deseados, podés subir el precio, bajar los costos o aumentar tu objetivo de ventas</t>
  </si>
  <si>
    <t>Preguntas</t>
  </si>
  <si>
    <t>Respuestas</t>
  </si>
  <si>
    <t>Escenario objetivo:</t>
  </si>
  <si>
    <t>1- ¿Por qué elegiste ese objetivo de ventas/producción?</t>
  </si>
  <si>
    <t xml:space="preserve"> Creemos que el objetivo de vender 700 unidades es alcanzable, no solo por el producto en sí sino tambien por su costo y el valor agregado que este ofrece al público </t>
  </si>
  <si>
    <t>2- ¿Cómo vas a hacer para alcanzar esas ventas?</t>
  </si>
  <si>
    <t>Por medio del cumplimiento de los objetivos de venta de cada alumno, y con el uso de los canales de comunicación de la empresa para publicitar</t>
  </si>
  <si>
    <t>3- ¿Cómo vas a hacer para producir esa cantidad en el tiempo determinado?</t>
  </si>
  <si>
    <t>Gracias al capital inicial vamos a poder realizar una parte importante del objetivo, además, gracias al costo de producción accesible y  la demanda que estimamos del producto, creemos que el dinero que ingrese por ventas nos ayudara a completar las 700 unidades en tiempo y forma</t>
  </si>
  <si>
    <t>1- ¿Por qué elegiste ese capital incial?</t>
  </si>
  <si>
    <t>Porque consideramos que con esa cantidad de capital vamos a poder iniciar la producción de manera óptima. Podríamos  producir unas 400 velas aproximadamente</t>
  </si>
  <si>
    <t>2- ¿Por qué elegiste vender esa cantidad de acciones?</t>
  </si>
  <si>
    <t>Las accciones que ofrecemos en la rueda son 5, a este número llegamos luego de ofrecer parte en nuestra comunidad.</t>
  </si>
  <si>
    <t>3- ¿En qué módulo/s del programa van a reinvertir y por qué?</t>
  </si>
  <si>
    <t>La reinversión la vamos a realiazar en diferentes módulos del programa. Al terciarizar parte de nuestra producción  con emprendimientos locales nos permite tener un buen ritmo de producción. Las acciones vendidas están calculadas para cubir nuestro punto de equilibri, así que luego de las primeras ventas (que calculamos realizar a lo sumo en dos semanas) reinvertiremos nuestros ingresos para completar la producción</t>
  </si>
  <si>
    <t>HERRAMIENTAS</t>
  </si>
  <si>
    <t>herramientas</t>
  </si>
  <si>
    <t>precio</t>
  </si>
  <si>
    <t>unidades</t>
  </si>
  <si>
    <t>totales</t>
  </si>
  <si>
    <t>mecha p/taladro</t>
  </si>
  <si>
    <t>comprar</t>
  </si>
  <si>
    <t>taladro</t>
  </si>
  <si>
    <t>nuestros</t>
  </si>
  <si>
    <t xml:space="preserve">bastidor </t>
  </si>
  <si>
    <t>pinceles</t>
  </si>
  <si>
    <t>olla</t>
  </si>
  <si>
    <t>nuestras</t>
  </si>
  <si>
    <t>licuadora</t>
  </si>
  <si>
    <t>sello</t>
  </si>
  <si>
    <t>tinta indeleble</t>
  </si>
  <si>
    <t>CUENCOS</t>
  </si>
  <si>
    <t>VELA POR DENTRO</t>
  </si>
  <si>
    <t>Kit emprende</t>
  </si>
  <si>
    <t>Cera de soja</t>
  </si>
  <si>
    <t>20kg</t>
  </si>
  <si>
    <t>$7900</t>
  </si>
  <si>
    <t>Tipo</t>
  </si>
  <si>
    <t>cantidad</t>
  </si>
  <si>
    <t>Total</t>
  </si>
  <si>
    <t>cera</t>
  </si>
  <si>
    <t>Pabilo con ojalillos</t>
  </si>
  <si>
    <t>100 und.</t>
  </si>
  <si>
    <t>Redondo chico</t>
  </si>
  <si>
    <t>pabilo</t>
  </si>
  <si>
    <t>Escencias</t>
  </si>
  <si>
    <t>5  de 50 cc.</t>
  </si>
  <si>
    <t>Redondo grande</t>
  </si>
  <si>
    <t>escencias</t>
  </si>
  <si>
    <t>Endurecedor</t>
  </si>
  <si>
    <t>400 gr.</t>
  </si>
  <si>
    <t>Cuadrado</t>
  </si>
  <si>
    <t>endurecedor</t>
  </si>
  <si>
    <t>Octogonal</t>
  </si>
  <si>
    <t>ojalillos</t>
  </si>
  <si>
    <t>Promedio</t>
  </si>
  <si>
    <t>precio unitario</t>
  </si>
  <si>
    <t>Promedio Ponderado</t>
  </si>
  <si>
    <t>Costo ponderado</t>
  </si>
  <si>
    <t>tipo</t>
  </si>
  <si>
    <t>peso sin cera</t>
  </si>
  <si>
    <t>peso con cera</t>
  </si>
  <si>
    <t>peso de le cera</t>
  </si>
  <si>
    <t>con 1kg de cera</t>
  </si>
  <si>
    <t>con 20kg</t>
  </si>
  <si>
    <t>DECORACION</t>
  </si>
  <si>
    <t>sirve para</t>
  </si>
  <si>
    <t>total</t>
  </si>
  <si>
    <t>barniz 125cc</t>
  </si>
  <si>
    <t>barniz 1000cc</t>
  </si>
  <si>
    <t>PACKAGING</t>
  </si>
  <si>
    <t>25x25</t>
  </si>
  <si>
    <t>tipo de tela</t>
  </si>
  <si>
    <t>cantidad de bolsas x/m</t>
  </si>
  <si>
    <t>Packaging</t>
  </si>
  <si>
    <t>packaging+costura</t>
  </si>
  <si>
    <t>Arpillera</t>
  </si>
  <si>
    <t>lino</t>
  </si>
  <si>
    <t>lienzo poliester</t>
  </si>
  <si>
    <t>Costura</t>
  </si>
  <si>
    <t>precios minimos</t>
  </si>
  <si>
    <t>kit de velas</t>
  </si>
  <si>
    <t>pabilos</t>
  </si>
  <si>
    <t>cuencos</t>
  </si>
  <si>
    <t>etiquetas</t>
  </si>
  <si>
    <t>barniz</t>
  </si>
  <si>
    <t>piedras</t>
  </si>
  <si>
    <t>costos fijos</t>
  </si>
  <si>
    <t>otros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</si>
</sst>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_-;\-&quot;$&quot;* #,##0_-;_-&quot;$&quot;* &quot;-&quot;??_-;_-@"/>
    <numFmt numFmtId="165" formatCode="_-&quot;$&quot;* #,##0.00_-;\-&quot;$&quot;* #,##0.00_-;_-&quot;$&quot;* &quot;-&quot;??_-;_-@"/>
    <numFmt numFmtId="166" formatCode="_-&quot;$&quot;* #,##0.0_-;\-&quot;$&quot;* #,##0.0_-;_-&quot;$&quot;* &quot;-&quot;??.0_-;_-@"/>
    <numFmt numFmtId="167" formatCode="_-&quot;$&quot;* #,##0.00_-;\-&quot;$&quot;* #,##0.00_-;_-&quot;$&quot;* &quot;-&quot;??.00_-;_-@"/>
  </numFmts>
  <fonts count="12" x14ac:knownFonts="1">
    <font>
      <sz val="11"/>
      <color theme="1"/>
      <name val="Arial"/>
    </font>
    <font>
      <sz val="11"/>
      <color theme="1"/>
      <name val="Calibri"/>
    </font>
    <font>
      <b/>
      <sz val="16"/>
      <color theme="9"/>
      <name val="Helvetica Neue"/>
    </font>
    <font>
      <sz val="11"/>
      <color theme="9"/>
      <name val="Helvetica Neue"/>
    </font>
    <font>
      <sz val="11"/>
      <color theme="1"/>
      <name val="Calibri"/>
    </font>
    <font>
      <sz val="11"/>
      <color rgb="FFFF0000"/>
      <name val="Calibri"/>
    </font>
    <font>
      <sz val="11"/>
      <name val="Arial"/>
    </font>
    <font>
      <sz val="11"/>
      <color rgb="FFFF0000"/>
      <name val="Arial"/>
    </font>
    <font>
      <sz val="11"/>
      <name val="Arial"/>
    </font>
    <font>
      <sz val="11"/>
      <color theme="1"/>
      <name val="Arial"/>
    </font>
    <font>
      <b/>
      <sz val="11"/>
      <color theme="1"/>
      <name val="Arial"/>
    </font>
    <font>
      <sz val="11"/>
      <color theme="1"/>
      <name val="Arial"/>
    </font>
  </fonts>
  <fills count="14">
    <fill>
      <patternFill patternType="none"/>
    </fill>
    <fill>
      <patternFill patternType="gray125"/>
    </fill>
    <fill>
      <patternFill patternType="solid">
        <fgColor rgb="FF7F7F7F"/>
        <bgColor rgb="FF7F7F7F"/>
      </patternFill>
    </fill>
    <fill>
      <patternFill patternType="solid">
        <fgColor rgb="FFFFFF00"/>
        <bgColor rgb="FFFFFF00"/>
      </patternFill>
    </fill>
    <fill>
      <patternFill patternType="solid">
        <fgColor rgb="FF92D050"/>
        <bgColor rgb="FF92D050"/>
      </patternFill>
    </fill>
    <fill>
      <patternFill patternType="solid">
        <fgColor rgb="FFF2F2F2"/>
        <bgColor rgb="FFF2F2F2"/>
      </patternFill>
    </fill>
    <fill>
      <patternFill patternType="solid">
        <fgColor theme="9"/>
        <bgColor theme="9"/>
      </patternFill>
    </fill>
    <fill>
      <patternFill patternType="solid">
        <fgColor rgb="FF595959"/>
        <bgColor rgb="FF595959"/>
      </patternFill>
    </fill>
    <fill>
      <patternFill patternType="solid">
        <fgColor rgb="FFD8D8D8"/>
        <bgColor rgb="FFD8D8D8"/>
      </patternFill>
    </fill>
    <fill>
      <patternFill patternType="solid">
        <fgColor rgb="FFBFBFBF"/>
        <bgColor rgb="FFBFBFBF"/>
      </patternFill>
    </fill>
    <fill>
      <patternFill patternType="solid">
        <fgColor rgb="FFA5A5A5"/>
        <bgColor rgb="FFA5A5A5"/>
      </patternFill>
    </fill>
    <fill>
      <patternFill patternType="solid">
        <fgColor rgb="FFFF9900"/>
        <bgColor rgb="FFFF9900"/>
      </patternFill>
    </fill>
    <fill>
      <patternFill patternType="solid">
        <fgColor rgb="FFFFFFFF"/>
        <bgColor rgb="FFFFFFFF"/>
      </patternFill>
    </fill>
    <fill>
      <patternFill patternType="solid">
        <fgColor rgb="FFFF0000"/>
        <bgColor rgb="FFFF0000"/>
      </patternFill>
    </fill>
  </fills>
  <borders count="25">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118">
    <xf numFmtId="0" fontId="0" fillId="0" borderId="0" xfId="0" applyFont="1" applyAlignment="1"/>
    <xf numFmtId="0" fontId="1" fillId="0" borderId="0" xfId="0" applyFont="1" applyAlignment="1"/>
    <xf numFmtId="0" fontId="2" fillId="0" borderId="0" xfId="0" applyFont="1" applyAlignment="1">
      <alignment horizontal="right"/>
    </xf>
    <xf numFmtId="0" fontId="3" fillId="0" borderId="0" xfId="0" applyFont="1" applyAlignment="1">
      <alignment horizontal="right"/>
    </xf>
    <xf numFmtId="0" fontId="4" fillId="2" borderId="1" xfId="0" applyFont="1" applyFill="1" applyBorder="1" applyAlignment="1">
      <alignment horizontal="left"/>
    </xf>
    <xf numFmtId="0" fontId="4" fillId="2" borderId="1" xfId="0" applyFont="1" applyFill="1" applyBorder="1" applyAlignment="1">
      <alignment horizontal="right"/>
    </xf>
    <xf numFmtId="0" fontId="4" fillId="3" borderId="1" xfId="0" applyFont="1" applyFill="1" applyBorder="1" applyAlignment="1">
      <alignment horizontal="right"/>
    </xf>
    <xf numFmtId="0" fontId="4" fillId="2" borderId="1" xfId="0" applyFont="1" applyFill="1" applyBorder="1"/>
    <xf numFmtId="1" fontId="5" fillId="2" borderId="1" xfId="0" applyNumberFormat="1" applyFont="1" applyFill="1" applyBorder="1"/>
    <xf numFmtId="1" fontId="6" fillId="4" borderId="1" xfId="0" applyNumberFormat="1" applyFont="1" applyFill="1" applyBorder="1" applyAlignment="1"/>
    <xf numFmtId="0" fontId="4" fillId="4" borderId="2" xfId="0" applyFont="1" applyFill="1" applyBorder="1"/>
    <xf numFmtId="2" fontId="4" fillId="2" borderId="1" xfId="0" applyNumberFormat="1" applyFont="1" applyFill="1" applyBorder="1"/>
    <xf numFmtId="2" fontId="5" fillId="0" borderId="1" xfId="0" applyNumberFormat="1" applyFont="1" applyBorder="1"/>
    <xf numFmtId="2" fontId="5" fillId="3" borderId="1" xfId="0" applyNumberFormat="1" applyFont="1" applyFill="1" applyBorder="1"/>
    <xf numFmtId="0" fontId="4" fillId="5" borderId="3" xfId="0" applyFont="1" applyFill="1" applyBorder="1"/>
    <xf numFmtId="0" fontId="4" fillId="6" borderId="4" xfId="0" applyFont="1" applyFill="1" applyBorder="1" applyAlignment="1"/>
    <xf numFmtId="0" fontId="4" fillId="5" borderId="4" xfId="0" applyFont="1" applyFill="1" applyBorder="1"/>
    <xf numFmtId="0" fontId="4" fillId="5" borderId="5" xfId="0" applyFont="1" applyFill="1" applyBorder="1"/>
    <xf numFmtId="164" fontId="5" fillId="0" borderId="1" xfId="0" applyNumberFormat="1" applyFont="1" applyBorder="1"/>
    <xf numFmtId="164" fontId="5" fillId="3" borderId="1" xfId="0" applyNumberFormat="1" applyFont="1" applyFill="1" applyBorder="1"/>
    <xf numFmtId="0" fontId="4" fillId="5" borderId="6" xfId="0" applyFont="1" applyFill="1" applyBorder="1"/>
    <xf numFmtId="0" fontId="4" fillId="6" borderId="2" xfId="0" applyFont="1" applyFill="1" applyBorder="1"/>
    <xf numFmtId="0" fontId="4" fillId="5" borderId="2" xfId="0" applyFont="1" applyFill="1" applyBorder="1"/>
    <xf numFmtId="0" fontId="4" fillId="5" borderId="7" xfId="0" applyFont="1" applyFill="1" applyBorder="1"/>
    <xf numFmtId="164" fontId="5" fillId="5" borderId="2" xfId="0" applyNumberFormat="1" applyFont="1" applyFill="1" applyBorder="1"/>
    <xf numFmtId="164" fontId="4" fillId="6" borderId="7" xfId="0" applyNumberFormat="1" applyFont="1" applyFill="1" applyBorder="1" applyAlignment="1"/>
    <xf numFmtId="0" fontId="4" fillId="6" borderId="7" xfId="0" applyFont="1" applyFill="1" applyBorder="1" applyAlignment="1"/>
    <xf numFmtId="0" fontId="5" fillId="0" borderId="1" xfId="0" applyFont="1" applyBorder="1"/>
    <xf numFmtId="0" fontId="5" fillId="3" borderId="1" xfId="0" applyFont="1" applyFill="1" applyBorder="1"/>
    <xf numFmtId="164" fontId="4" fillId="6" borderId="2" xfId="0" applyNumberFormat="1" applyFont="1" applyFill="1" applyBorder="1" applyAlignment="1"/>
    <xf numFmtId="164" fontId="4" fillId="6" borderId="2" xfId="0" applyNumberFormat="1" applyFont="1" applyFill="1" applyBorder="1"/>
    <xf numFmtId="9" fontId="5" fillId="0" borderId="1" xfId="0" applyNumberFormat="1" applyFont="1" applyBorder="1"/>
    <xf numFmtId="9" fontId="5" fillId="3" borderId="1" xfId="0" applyNumberFormat="1" applyFont="1" applyFill="1" applyBorder="1"/>
    <xf numFmtId="9" fontId="4" fillId="0" borderId="0" xfId="0" applyNumberFormat="1" applyFont="1"/>
    <xf numFmtId="0" fontId="4" fillId="5" borderId="8" xfId="0" applyFont="1" applyFill="1" applyBorder="1"/>
    <xf numFmtId="164" fontId="5" fillId="5" borderId="9" xfId="0" applyNumberFormat="1" applyFont="1" applyFill="1" applyBorder="1"/>
    <xf numFmtId="0" fontId="4" fillId="5" borderId="9" xfId="0" applyFont="1" applyFill="1" applyBorder="1"/>
    <xf numFmtId="0" fontId="4" fillId="5" borderId="10" xfId="0" applyFont="1" applyFill="1" applyBorder="1"/>
    <xf numFmtId="0" fontId="1" fillId="0" borderId="0" xfId="0" applyFont="1"/>
    <xf numFmtId="10" fontId="4" fillId="0" borderId="0" xfId="0" applyNumberFormat="1" applyFont="1"/>
    <xf numFmtId="0" fontId="4" fillId="7" borderId="1" xfId="0" applyFont="1" applyFill="1" applyBorder="1"/>
    <xf numFmtId="1" fontId="5" fillId="0" borderId="1" xfId="0" applyNumberFormat="1" applyFont="1" applyBorder="1"/>
    <xf numFmtId="0" fontId="4" fillId="8" borderId="3" xfId="0" applyFont="1" applyFill="1" applyBorder="1"/>
    <xf numFmtId="165" fontId="5" fillId="8" borderId="4" xfId="0" applyNumberFormat="1" applyFont="1" applyFill="1" applyBorder="1"/>
    <xf numFmtId="0" fontId="4" fillId="8" borderId="4" xfId="0" applyFont="1" applyFill="1" applyBorder="1" applyAlignment="1"/>
    <xf numFmtId="166" fontId="4" fillId="6" borderId="4" xfId="0" applyNumberFormat="1" applyFont="1" applyFill="1" applyBorder="1"/>
    <xf numFmtId="0" fontId="4" fillId="6" borderId="5" xfId="0" applyFont="1" applyFill="1" applyBorder="1" applyAlignment="1">
      <alignment horizontal="center"/>
    </xf>
    <xf numFmtId="0" fontId="4" fillId="8" borderId="6" xfId="0" applyFont="1" applyFill="1" applyBorder="1"/>
    <xf numFmtId="165" fontId="5" fillId="8" borderId="2" xfId="0" applyNumberFormat="1" applyFont="1" applyFill="1" applyBorder="1"/>
    <xf numFmtId="0" fontId="4" fillId="8" borderId="2" xfId="0" applyFont="1" applyFill="1" applyBorder="1" applyAlignment="1"/>
    <xf numFmtId="165" fontId="4" fillId="6" borderId="2" xfId="0" applyNumberFormat="1" applyFont="1" applyFill="1" applyBorder="1"/>
    <xf numFmtId="0" fontId="4" fillId="6" borderId="7" xfId="0" applyFont="1" applyFill="1" applyBorder="1" applyAlignment="1">
      <alignment horizontal="center"/>
    </xf>
    <xf numFmtId="165" fontId="4" fillId="6" borderId="2" xfId="0" applyNumberFormat="1" applyFont="1" applyFill="1" applyBorder="1" applyAlignment="1"/>
    <xf numFmtId="164" fontId="1" fillId="0" borderId="0" xfId="0" applyNumberFormat="1" applyFont="1"/>
    <xf numFmtId="164" fontId="7" fillId="0" borderId="1" xfId="0" applyNumberFormat="1" applyFont="1" applyBorder="1" applyAlignment="1"/>
    <xf numFmtId="167" fontId="4" fillId="6" borderId="2" xfId="0" applyNumberFormat="1" applyFont="1" applyFill="1" applyBorder="1" applyAlignment="1"/>
    <xf numFmtId="9" fontId="4" fillId="6" borderId="2" xfId="0" applyNumberFormat="1" applyFont="1" applyFill="1" applyBorder="1" applyAlignment="1"/>
    <xf numFmtId="0" fontId="4" fillId="8" borderId="2" xfId="0" applyFont="1" applyFill="1" applyBorder="1"/>
    <xf numFmtId="0" fontId="4" fillId="8" borderId="7" xfId="0" applyFont="1" applyFill="1" applyBorder="1"/>
    <xf numFmtId="9" fontId="4" fillId="6" borderId="2" xfId="0" applyNumberFormat="1" applyFont="1" applyFill="1" applyBorder="1"/>
    <xf numFmtId="0" fontId="4" fillId="8" borderId="8" xfId="0" applyFont="1" applyFill="1" applyBorder="1"/>
    <xf numFmtId="164" fontId="5" fillId="8" borderId="9" xfId="0" applyNumberFormat="1" applyFont="1" applyFill="1" applyBorder="1"/>
    <xf numFmtId="0" fontId="4" fillId="8" borderId="9" xfId="0" applyFont="1" applyFill="1" applyBorder="1" applyAlignment="1">
      <alignment horizontal="left"/>
    </xf>
    <xf numFmtId="0" fontId="4" fillId="8" borderId="9" xfId="0" applyFont="1" applyFill="1" applyBorder="1"/>
    <xf numFmtId="0" fontId="4" fillId="8" borderId="10" xfId="0" applyFont="1" applyFill="1" applyBorder="1"/>
    <xf numFmtId="0" fontId="4" fillId="9" borderId="11" xfId="0" applyFont="1" applyFill="1" applyBorder="1"/>
    <xf numFmtId="164" fontId="4" fillId="6" borderId="12" xfId="0" applyNumberFormat="1" applyFont="1" applyFill="1" applyBorder="1" applyAlignment="1"/>
    <xf numFmtId="0" fontId="4" fillId="10" borderId="3" xfId="0" applyFont="1" applyFill="1" applyBorder="1"/>
    <xf numFmtId="164" fontId="5" fillId="10" borderId="16" xfId="0" applyNumberFormat="1" applyFont="1" applyFill="1" applyBorder="1"/>
    <xf numFmtId="0" fontId="4" fillId="10" borderId="17" xfId="0" applyFont="1" applyFill="1" applyBorder="1" applyAlignment="1">
      <alignment horizontal="left"/>
    </xf>
    <xf numFmtId="0" fontId="4" fillId="10" borderId="6" xfId="0" applyFont="1" applyFill="1" applyBorder="1"/>
    <xf numFmtId="164" fontId="5" fillId="10" borderId="2" xfId="0" applyNumberFormat="1" applyFont="1" applyFill="1" applyBorder="1"/>
    <xf numFmtId="0" fontId="4" fillId="10" borderId="7" xfId="0" applyFont="1" applyFill="1" applyBorder="1" applyAlignment="1">
      <alignment horizontal="left"/>
    </xf>
    <xf numFmtId="0" fontId="4" fillId="10" borderId="8" xfId="0" applyFont="1" applyFill="1" applyBorder="1"/>
    <xf numFmtId="1" fontId="5" fillId="10" borderId="9" xfId="0" applyNumberFormat="1" applyFont="1" applyFill="1" applyBorder="1" applyAlignment="1">
      <alignment horizontal="center"/>
    </xf>
    <xf numFmtId="0" fontId="4" fillId="10" borderId="10" xfId="0" applyFont="1" applyFill="1" applyBorder="1"/>
    <xf numFmtId="0" fontId="4" fillId="2" borderId="11" xfId="0" applyFont="1" applyFill="1" applyBorder="1"/>
    <xf numFmtId="0" fontId="4" fillId="0" borderId="14" xfId="0" applyFont="1" applyBorder="1"/>
    <xf numFmtId="0" fontId="4" fillId="0" borderId="15" xfId="0" applyFont="1" applyBorder="1"/>
    <xf numFmtId="0" fontId="4" fillId="0" borderId="19" xfId="0" applyFont="1" applyBorder="1" applyAlignment="1">
      <alignment wrapText="1"/>
    </xf>
    <xf numFmtId="0" fontId="9" fillId="0" borderId="20" xfId="0" applyFont="1" applyBorder="1" applyAlignment="1">
      <alignment wrapText="1"/>
    </xf>
    <xf numFmtId="0" fontId="4" fillId="0" borderId="0" xfId="0" applyFont="1" applyAlignment="1">
      <alignment wrapText="1"/>
    </xf>
    <xf numFmtId="0" fontId="9" fillId="0" borderId="1" xfId="0" applyFont="1" applyBorder="1" applyAlignment="1">
      <alignment wrapText="1"/>
    </xf>
    <xf numFmtId="0" fontId="4" fillId="0" borderId="23" xfId="0" applyFont="1" applyBorder="1" applyAlignment="1">
      <alignment wrapText="1"/>
    </xf>
    <xf numFmtId="0" fontId="9" fillId="0" borderId="1" xfId="0" applyFont="1" applyBorder="1" applyAlignment="1"/>
    <xf numFmtId="0" fontId="9" fillId="0" borderId="24" xfId="0" applyFont="1" applyBorder="1" applyAlignment="1">
      <alignment wrapText="1"/>
    </xf>
    <xf numFmtId="0" fontId="4" fillId="11" borderId="1" xfId="0" applyFont="1" applyFill="1" applyBorder="1" applyAlignment="1"/>
    <xf numFmtId="0" fontId="4" fillId="12" borderId="1" xfId="0" applyFont="1" applyFill="1" applyBorder="1" applyAlignment="1"/>
    <xf numFmtId="0" fontId="4" fillId="0" borderId="1" xfId="0" applyFont="1" applyBorder="1" applyAlignment="1"/>
    <xf numFmtId="0" fontId="4" fillId="0" borderId="1" xfId="0" applyFont="1" applyBorder="1" applyAlignment="1">
      <alignment horizontal="right"/>
    </xf>
    <xf numFmtId="0" fontId="4" fillId="0" borderId="1" xfId="0" applyFont="1" applyBorder="1" applyAlignment="1">
      <alignment horizontal="right"/>
    </xf>
    <xf numFmtId="0" fontId="4" fillId="0" borderId="1" xfId="0" applyFont="1" applyBorder="1" applyAlignment="1"/>
    <xf numFmtId="0" fontId="4" fillId="0" borderId="0" xfId="0" applyFont="1" applyAlignment="1"/>
    <xf numFmtId="0" fontId="4" fillId="0" borderId="0" xfId="0" applyFont="1" applyAlignment="1">
      <alignment horizontal="right"/>
    </xf>
    <xf numFmtId="0" fontId="10" fillId="0" borderId="0" xfId="0" applyFont="1" applyAlignment="1"/>
    <xf numFmtId="0" fontId="11" fillId="0" borderId="1" xfId="0" applyFont="1" applyBorder="1" applyAlignment="1"/>
    <xf numFmtId="0" fontId="10" fillId="0" borderId="1" xfId="0" applyFont="1" applyBorder="1" applyAlignment="1"/>
    <xf numFmtId="0" fontId="1" fillId="12" borderId="1" xfId="0" applyFont="1" applyFill="1" applyBorder="1" applyAlignment="1"/>
    <xf numFmtId="0" fontId="1" fillId="0" borderId="1" xfId="0" applyFont="1" applyBorder="1" applyAlignment="1"/>
    <xf numFmtId="0" fontId="1" fillId="0" borderId="1" xfId="0" applyFont="1" applyBorder="1"/>
    <xf numFmtId="0" fontId="11" fillId="0" borderId="0" xfId="0" applyFont="1" applyAlignment="1"/>
    <xf numFmtId="0" fontId="8" fillId="0" borderId="1" xfId="0" applyFont="1" applyBorder="1" applyAlignment="1"/>
    <xf numFmtId="0" fontId="1" fillId="13" borderId="0" xfId="0" applyFont="1" applyFill="1"/>
    <xf numFmtId="2" fontId="1" fillId="0" borderId="1" xfId="0" applyNumberFormat="1" applyFont="1" applyBorder="1"/>
    <xf numFmtId="2" fontId="1" fillId="0" borderId="1" xfId="0" applyNumberFormat="1" applyFont="1" applyBorder="1" applyAlignment="1"/>
    <xf numFmtId="4" fontId="1" fillId="0" borderId="1" xfId="0" applyNumberFormat="1" applyFont="1" applyBorder="1" applyAlignment="1">
      <alignment horizontal="right"/>
    </xf>
    <xf numFmtId="4" fontId="1" fillId="0" borderId="1" xfId="0" applyNumberFormat="1" applyFont="1" applyBorder="1"/>
    <xf numFmtId="0" fontId="1" fillId="11" borderId="1" xfId="0" applyFont="1" applyFill="1" applyBorder="1" applyAlignment="1"/>
    <xf numFmtId="0" fontId="1" fillId="13" borderId="1" xfId="0" applyFont="1" applyFill="1" applyBorder="1" applyAlignment="1"/>
    <xf numFmtId="0" fontId="1" fillId="13" borderId="1" xfId="0" applyFont="1" applyFill="1" applyBorder="1"/>
    <xf numFmtId="0" fontId="4" fillId="0" borderId="1" xfId="0" applyFont="1" applyBorder="1"/>
    <xf numFmtId="0" fontId="4" fillId="9" borderId="13" xfId="0" applyFont="1" applyFill="1" applyBorder="1" applyAlignment="1">
      <alignment horizontal="left"/>
    </xf>
    <xf numFmtId="0" fontId="8" fillId="0" borderId="14" xfId="0" applyFont="1" applyBorder="1"/>
    <xf numFmtId="0" fontId="8" fillId="0" borderId="15" xfId="0" applyFont="1" applyBorder="1"/>
    <xf numFmtId="0" fontId="4" fillId="0" borderId="18" xfId="0" applyFont="1" applyBorder="1" applyAlignment="1">
      <alignment horizontal="center" vertical="center" textRotation="90"/>
    </xf>
    <xf numFmtId="0" fontId="8" fillId="0" borderId="21" xfId="0" applyFont="1" applyBorder="1"/>
    <xf numFmtId="0" fontId="8" fillId="0" borderId="22" xfId="0" applyFont="1" applyBorder="1"/>
    <xf numFmtId="0" fontId="1" fillId="3" borderId="13"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 /><Relationship Id="rId3" Type="http://schemas.openxmlformats.org/officeDocument/2006/relationships/worksheet" Target="worksheets/sheet3.xml" /><Relationship Id="rId12"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11" Type="http://schemas.openxmlformats.org/officeDocument/2006/relationships/sharedStrings" Target="sharedStrings.xml" /><Relationship Id="rId10"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theme" Target="theme/theme1.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jpg" /></Relationships>
</file>

<file path=xl/drawings/drawing1.xml><?xml version="1.0" encoding="utf-8"?>
<xdr:wsDr xmlns:xdr="http://schemas.openxmlformats.org/drawingml/2006/spreadsheetDrawing" xmlns:a="http://schemas.openxmlformats.org/drawingml/2006/main">
  <xdr:oneCellAnchor>
    <xdr:from>
      <xdr:col>0</xdr:col>
      <xdr:colOff>9525</xdr:colOff>
      <xdr:row>0</xdr:row>
      <xdr:rowOff>19050</xdr:rowOff>
    </xdr:from>
    <xdr:ext cx="2152650" cy="53340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00"/>
  <sheetViews>
    <sheetView tabSelected="1" workbookViewId="0"/>
  </sheetViews>
  <sheetFormatPr defaultColWidth="12.625" defaultRowHeight="15" customHeight="1" x14ac:dyDescent="0.15"/>
  <cols>
    <col min="1" max="1" width="17.65234375" customWidth="1"/>
    <col min="2" max="2" width="13.23828125" customWidth="1"/>
    <col min="3" max="3" width="65.5859375" customWidth="1"/>
    <col min="4" max="4" width="14.09765625" customWidth="1"/>
    <col min="5" max="5" width="25.12890625" customWidth="1"/>
    <col min="6" max="6" width="10.05078125" customWidth="1"/>
    <col min="7" max="7" width="21.8203125" customWidth="1"/>
    <col min="8" max="8" width="10.296875" customWidth="1"/>
    <col min="9" max="9" width="14.953125" customWidth="1"/>
    <col min="10" max="10" width="15.078125" customWidth="1"/>
    <col min="11" max="11" width="16.42578125" customWidth="1"/>
    <col min="12" max="12" width="26.109375" customWidth="1"/>
    <col min="13" max="13" width="19.734375" customWidth="1"/>
    <col min="14" max="26" width="10.05078125" customWidth="1"/>
  </cols>
  <sheetData>
    <row r="1" spans="1:13" ht="20.25" x14ac:dyDescent="0.25">
      <c r="A1" s="1" t="s">
        <v>0</v>
      </c>
      <c r="C1" s="2" t="s">
        <v>1</v>
      </c>
    </row>
    <row r="2" spans="1:13" x14ac:dyDescent="0.2">
      <c r="C2" s="3" t="s">
        <v>2</v>
      </c>
      <c r="G2" s="4" t="s">
        <v>3</v>
      </c>
      <c r="H2" s="5" t="s">
        <v>4</v>
      </c>
      <c r="I2" s="5" t="s">
        <v>5</v>
      </c>
      <c r="J2" s="5" t="s">
        <v>6</v>
      </c>
      <c r="K2" s="6" t="s">
        <v>7</v>
      </c>
    </row>
    <row r="3" spans="1:13" x14ac:dyDescent="0.2">
      <c r="C3" s="3" t="s">
        <v>8</v>
      </c>
      <c r="G3" s="7" t="s">
        <v>9</v>
      </c>
      <c r="H3" s="8">
        <f>+B36</f>
        <v>78.110401016556423</v>
      </c>
      <c r="I3" s="9">
        <v>400</v>
      </c>
      <c r="J3" s="9">
        <v>800</v>
      </c>
      <c r="K3" s="9">
        <v>700</v>
      </c>
      <c r="L3" s="10" t="s">
        <v>10</v>
      </c>
    </row>
    <row r="4" spans="1:13" x14ac:dyDescent="0.2">
      <c r="G4" s="11" t="s">
        <v>11</v>
      </c>
      <c r="H4" s="12">
        <f t="shared" ref="H4:K4" si="0">+H3/$B$7</f>
        <v>4.8819000635347765</v>
      </c>
      <c r="I4" s="12">
        <f t="shared" si="0"/>
        <v>25</v>
      </c>
      <c r="J4" s="12">
        <f t="shared" si="0"/>
        <v>50</v>
      </c>
      <c r="K4" s="13">
        <f t="shared" si="0"/>
        <v>43.75</v>
      </c>
    </row>
    <row r="5" spans="1:13" x14ac:dyDescent="0.2">
      <c r="G5" s="11" t="s">
        <v>12</v>
      </c>
      <c r="H5" s="12">
        <f t="shared" ref="H5:K5" si="1">+H4/$B$6</f>
        <v>0.1251769247060199</v>
      </c>
      <c r="I5" s="12">
        <f t="shared" si="1"/>
        <v>0.64102564102564108</v>
      </c>
      <c r="J5" s="12">
        <f t="shared" si="1"/>
        <v>1.2820512820512822</v>
      </c>
      <c r="K5" s="13">
        <f t="shared" si="1"/>
        <v>1.1217948717948718</v>
      </c>
    </row>
    <row r="6" spans="1:13" x14ac:dyDescent="0.2">
      <c r="A6" s="14" t="s">
        <v>13</v>
      </c>
      <c r="B6" s="15">
        <v>39</v>
      </c>
      <c r="C6" s="16" t="s">
        <v>14</v>
      </c>
      <c r="D6" s="17"/>
      <c r="G6" s="7" t="s">
        <v>15</v>
      </c>
      <c r="H6" s="18">
        <f t="shared" ref="H6:K6" si="2">+$B$32*H3</f>
        <v>39055.200508278213</v>
      </c>
      <c r="I6" s="18">
        <f t="shared" si="2"/>
        <v>200000</v>
      </c>
      <c r="J6" s="18">
        <f t="shared" si="2"/>
        <v>400000</v>
      </c>
      <c r="K6" s="19">
        <f t="shared" si="2"/>
        <v>350000</v>
      </c>
    </row>
    <row r="7" spans="1:13" x14ac:dyDescent="0.2">
      <c r="A7" s="20"/>
      <c r="B7" s="21">
        <v>16</v>
      </c>
      <c r="C7" s="22" t="s">
        <v>16</v>
      </c>
      <c r="D7" s="23"/>
      <c r="G7" s="7" t="s">
        <v>13</v>
      </c>
      <c r="H7" s="18">
        <f t="shared" ref="H7:K7" si="3">+$B$16</f>
        <v>20900</v>
      </c>
      <c r="I7" s="18">
        <f t="shared" si="3"/>
        <v>20900</v>
      </c>
      <c r="J7" s="18">
        <f t="shared" si="3"/>
        <v>20900</v>
      </c>
      <c r="K7" s="19">
        <f t="shared" si="3"/>
        <v>20900</v>
      </c>
    </row>
    <row r="8" spans="1:13" x14ac:dyDescent="0.2">
      <c r="A8" s="20"/>
      <c r="B8" s="24">
        <f>1*D8*B7</f>
        <v>800</v>
      </c>
      <c r="C8" s="22" t="s">
        <v>17</v>
      </c>
      <c r="D8" s="25">
        <v>50</v>
      </c>
      <c r="G8" s="7" t="s">
        <v>18</v>
      </c>
      <c r="H8" s="18">
        <f t="shared" ref="H8:K8" si="4">+$B$30*H3</f>
        <v>18155.200508278209</v>
      </c>
      <c r="I8" s="18">
        <f t="shared" si="4"/>
        <v>92972</v>
      </c>
      <c r="J8" s="18">
        <f t="shared" si="4"/>
        <v>185944</v>
      </c>
      <c r="K8" s="19">
        <f t="shared" si="4"/>
        <v>162701</v>
      </c>
    </row>
    <row r="9" spans="1:13" x14ac:dyDescent="0.2">
      <c r="A9" s="20"/>
      <c r="B9" s="24">
        <f>5*D9*B7</f>
        <v>2800</v>
      </c>
      <c r="C9" s="22" t="s">
        <v>19</v>
      </c>
      <c r="D9" s="26">
        <v>35</v>
      </c>
      <c r="G9" s="7" t="s">
        <v>20</v>
      </c>
      <c r="H9" s="18">
        <f t="shared" ref="H9:K9" si="5">+H8+H7</f>
        <v>39055.200508278213</v>
      </c>
      <c r="I9" s="18">
        <f t="shared" si="5"/>
        <v>113872</v>
      </c>
      <c r="J9" s="18">
        <f t="shared" si="5"/>
        <v>206844</v>
      </c>
      <c r="K9" s="19">
        <f t="shared" si="5"/>
        <v>183601</v>
      </c>
    </row>
    <row r="10" spans="1:13" x14ac:dyDescent="0.2">
      <c r="A10" s="20"/>
      <c r="B10" s="24">
        <f>(+B6-6)*D10*B7</f>
        <v>13200</v>
      </c>
      <c r="C10" s="22" t="s">
        <v>21</v>
      </c>
      <c r="D10" s="26">
        <v>25</v>
      </c>
      <c r="G10" s="7" t="s">
        <v>22</v>
      </c>
      <c r="H10" s="18">
        <f t="shared" ref="H10:K10" si="6">+H6-H9</f>
        <v>0</v>
      </c>
      <c r="I10" s="18">
        <f t="shared" si="6"/>
        <v>86128</v>
      </c>
      <c r="J10" s="18">
        <f t="shared" si="6"/>
        <v>193156</v>
      </c>
      <c r="K10" s="19">
        <f t="shared" si="6"/>
        <v>166399</v>
      </c>
    </row>
    <row r="11" spans="1:13" x14ac:dyDescent="0.2">
      <c r="A11" s="20"/>
      <c r="B11" s="24">
        <f>+SUM(B8:B10)</f>
        <v>16800</v>
      </c>
      <c r="C11" s="22" t="s">
        <v>23</v>
      </c>
      <c r="D11" s="23"/>
      <c r="G11" s="7" t="s">
        <v>24</v>
      </c>
      <c r="H11" s="27">
        <f t="shared" ref="H11:K11" si="7">+IF(H10&gt;0,H10*0.05,0)</f>
        <v>0</v>
      </c>
      <c r="I11" s="27">
        <f t="shared" si="7"/>
        <v>4306.4000000000005</v>
      </c>
      <c r="J11" s="27">
        <f t="shared" si="7"/>
        <v>9657.8000000000011</v>
      </c>
      <c r="K11" s="28">
        <f t="shared" si="7"/>
        <v>8319.9500000000007</v>
      </c>
    </row>
    <row r="12" spans="1:13" x14ac:dyDescent="0.2">
      <c r="A12" s="20"/>
      <c r="B12" s="29">
        <v>1000</v>
      </c>
      <c r="C12" s="22" t="s">
        <v>25</v>
      </c>
      <c r="D12" s="23"/>
      <c r="G12" s="7" t="s">
        <v>26</v>
      </c>
      <c r="H12" s="18">
        <f t="shared" ref="H12:K12" si="8">+H10-H11</f>
        <v>0</v>
      </c>
      <c r="I12" s="18">
        <f t="shared" si="8"/>
        <v>81821.600000000006</v>
      </c>
      <c r="J12" s="18">
        <f t="shared" si="8"/>
        <v>183498.2</v>
      </c>
      <c r="K12" s="19">
        <f t="shared" si="8"/>
        <v>158079.04999999999</v>
      </c>
    </row>
    <row r="13" spans="1:13" x14ac:dyDescent="0.2">
      <c r="A13" s="20"/>
      <c r="B13" s="30">
        <v>0</v>
      </c>
      <c r="C13" s="22" t="s">
        <v>27</v>
      </c>
      <c r="D13" s="23"/>
      <c r="G13" s="7" t="s">
        <v>28</v>
      </c>
      <c r="H13" s="18">
        <f t="shared" ref="H13:K13" si="9">+H12/($H$18+$H$19)+$H$23</f>
        <v>400</v>
      </c>
      <c r="I13" s="18">
        <f t="shared" si="9"/>
        <v>1448.9948717948719</v>
      </c>
      <c r="J13" s="18">
        <f t="shared" si="9"/>
        <v>2752.541025641026</v>
      </c>
      <c r="K13" s="19">
        <f t="shared" si="9"/>
        <v>2426.6544871794868</v>
      </c>
    </row>
    <row r="14" spans="1:13" x14ac:dyDescent="0.2">
      <c r="A14" s="20"/>
      <c r="B14" s="30">
        <f>'costos fijos y variables'!D14</f>
        <v>2100</v>
      </c>
      <c r="C14" s="22" t="s">
        <v>29</v>
      </c>
      <c r="D14" s="23"/>
      <c r="G14" s="7" t="s">
        <v>30</v>
      </c>
      <c r="H14" s="31">
        <f t="shared" ref="H14:K14" si="10">(H13/$H$23)-1</f>
        <v>0</v>
      </c>
      <c r="I14" s="31">
        <f t="shared" si="10"/>
        <v>2.6224871794871798</v>
      </c>
      <c r="J14" s="31">
        <f t="shared" si="10"/>
        <v>5.8813525641025652</v>
      </c>
      <c r="K14" s="32">
        <f t="shared" si="10"/>
        <v>5.0666362179487168</v>
      </c>
      <c r="L14" s="33"/>
    </row>
    <row r="15" spans="1:13" x14ac:dyDescent="0.2">
      <c r="A15" s="20"/>
      <c r="B15" s="29">
        <v>1000</v>
      </c>
      <c r="C15" s="22" t="s">
        <v>31</v>
      </c>
      <c r="D15" s="23"/>
    </row>
    <row r="16" spans="1:13" x14ac:dyDescent="0.2">
      <c r="A16" s="34"/>
      <c r="B16" s="35">
        <f>+SUM(B11:B15)</f>
        <v>20900</v>
      </c>
      <c r="C16" s="36" t="s">
        <v>32</v>
      </c>
      <c r="D16" s="37"/>
      <c r="G16" s="38" t="s">
        <v>33</v>
      </c>
      <c r="J16" s="33"/>
      <c r="K16" s="33"/>
      <c r="L16" s="39"/>
      <c r="M16" s="33"/>
    </row>
    <row r="17" spans="1:9" x14ac:dyDescent="0.2">
      <c r="G17" s="40" t="s">
        <v>34</v>
      </c>
      <c r="H17" s="41">
        <f>+H3</f>
        <v>78.110401016556423</v>
      </c>
    </row>
    <row r="18" spans="1:9" x14ac:dyDescent="0.2">
      <c r="D18" s="38" t="s">
        <v>35</v>
      </c>
      <c r="E18" s="38" t="s">
        <v>36</v>
      </c>
      <c r="G18" s="40" t="s">
        <v>37</v>
      </c>
      <c r="H18" s="27">
        <f>+$B$6</f>
        <v>39</v>
      </c>
    </row>
    <row r="19" spans="1:9" x14ac:dyDescent="0.2">
      <c r="A19" s="42" t="s">
        <v>38</v>
      </c>
      <c r="B19" s="43">
        <f t="shared" ref="B19:B25" si="11">IF(D19&gt;0.001,D19*E19,0)</f>
        <v>107.5</v>
      </c>
      <c r="C19" s="44" t="s">
        <v>39</v>
      </c>
      <c r="D19" s="45">
        <f>'costos fijos y variables'!C24</f>
        <v>107.5</v>
      </c>
      <c r="E19" s="46">
        <v>1</v>
      </c>
      <c r="G19" s="40" t="s">
        <v>40</v>
      </c>
      <c r="H19" s="27">
        <f>+H18</f>
        <v>39</v>
      </c>
    </row>
    <row r="20" spans="1:9" x14ac:dyDescent="0.2">
      <c r="A20" s="47"/>
      <c r="B20" s="48">
        <f t="shared" si="11"/>
        <v>22.93</v>
      </c>
      <c r="C20" s="49" t="s">
        <v>41</v>
      </c>
      <c r="D20" s="50">
        <f>'costos fijos y variables'!H23</f>
        <v>22.93</v>
      </c>
      <c r="E20" s="51">
        <v>1</v>
      </c>
      <c r="G20" s="40" t="s">
        <v>42</v>
      </c>
      <c r="H20" s="18">
        <f>+H8</f>
        <v>18155.200508278209</v>
      </c>
    </row>
    <row r="21" spans="1:9" ht="15.75" customHeight="1" x14ac:dyDescent="0.2">
      <c r="A21" s="47"/>
      <c r="B21" s="48">
        <f t="shared" si="11"/>
        <v>0</v>
      </c>
      <c r="C21" s="49" t="s">
        <v>43</v>
      </c>
      <c r="D21" s="52">
        <v>40</v>
      </c>
      <c r="E21" s="51">
        <v>0</v>
      </c>
      <c r="G21" s="40" t="s">
        <v>13</v>
      </c>
      <c r="H21" s="18">
        <f>+$B$16</f>
        <v>20900</v>
      </c>
    </row>
    <row r="22" spans="1:9" ht="15.75" customHeight="1" x14ac:dyDescent="0.2">
      <c r="A22" s="47"/>
      <c r="B22" s="48">
        <f t="shared" si="11"/>
        <v>15</v>
      </c>
      <c r="C22" s="49" t="s">
        <v>44</v>
      </c>
      <c r="D22" s="29">
        <v>15</v>
      </c>
      <c r="E22" s="51">
        <v>1</v>
      </c>
      <c r="G22" s="40" t="s">
        <v>45</v>
      </c>
      <c r="H22" s="18">
        <f>'precios minimos'!C15</f>
        <v>30220</v>
      </c>
      <c r="I22" s="53">
        <f>H21+H20</f>
        <v>39055.200508278213</v>
      </c>
    </row>
    <row r="23" spans="1:9" ht="15.75" customHeight="1" x14ac:dyDescent="0.2">
      <c r="A23" s="47"/>
      <c r="B23" s="48">
        <f t="shared" si="11"/>
        <v>4</v>
      </c>
      <c r="C23" s="49" t="s">
        <v>46</v>
      </c>
      <c r="D23" s="29">
        <f>'costos fijos y variables'!M30</f>
        <v>4</v>
      </c>
      <c r="E23" s="51">
        <v>1</v>
      </c>
      <c r="G23" s="40" t="s">
        <v>47</v>
      </c>
      <c r="H23" s="54">
        <v>400</v>
      </c>
      <c r="I23" s="38">
        <f>I22/(H18+H19)</f>
        <v>500.70769882407967</v>
      </c>
    </row>
    <row r="24" spans="1:9" ht="15.75" customHeight="1" x14ac:dyDescent="0.2">
      <c r="A24" s="47"/>
      <c r="B24" s="48">
        <f t="shared" si="11"/>
        <v>8</v>
      </c>
      <c r="C24" s="49" t="s">
        <v>48</v>
      </c>
      <c r="D24" s="55">
        <f>'costos fijos y variables'!B41</f>
        <v>8</v>
      </c>
      <c r="E24" s="51">
        <v>1</v>
      </c>
    </row>
    <row r="25" spans="1:9" ht="15.75" customHeight="1" x14ac:dyDescent="0.2">
      <c r="A25" s="47"/>
      <c r="B25" s="48">
        <f t="shared" si="11"/>
        <v>25</v>
      </c>
      <c r="C25" s="49" t="s">
        <v>49</v>
      </c>
      <c r="D25" s="29">
        <v>25</v>
      </c>
      <c r="E25" s="51">
        <v>1</v>
      </c>
      <c r="G25" s="38" t="s">
        <v>50</v>
      </c>
    </row>
    <row r="26" spans="1:9" ht="15.75" customHeight="1" x14ac:dyDescent="0.2">
      <c r="A26" s="47"/>
      <c r="B26" s="56">
        <v>0</v>
      </c>
      <c r="C26" s="49" t="s">
        <v>51</v>
      </c>
      <c r="D26" s="57"/>
      <c r="E26" s="58"/>
      <c r="G26" s="38" t="s">
        <v>52</v>
      </c>
    </row>
    <row r="27" spans="1:9" ht="15.75" customHeight="1" x14ac:dyDescent="0.2">
      <c r="A27" s="47"/>
      <c r="B27" s="59">
        <v>0.1</v>
      </c>
      <c r="C27" s="57" t="s">
        <v>53</v>
      </c>
      <c r="D27" s="57"/>
      <c r="E27" s="58"/>
      <c r="G27" s="38" t="s">
        <v>54</v>
      </c>
    </row>
    <row r="28" spans="1:9" ht="15.75" customHeight="1" x14ac:dyDescent="0.2">
      <c r="A28" s="47"/>
      <c r="B28" s="56">
        <v>0</v>
      </c>
      <c r="C28" s="57" t="s">
        <v>55</v>
      </c>
      <c r="D28" s="57"/>
      <c r="E28" s="58"/>
      <c r="G28" s="38" t="s">
        <v>56</v>
      </c>
    </row>
    <row r="29" spans="1:9" ht="15.75" customHeight="1" x14ac:dyDescent="0.2">
      <c r="A29" s="47"/>
      <c r="B29" s="30">
        <v>0</v>
      </c>
      <c r="C29" s="57" t="s">
        <v>57</v>
      </c>
      <c r="D29" s="57"/>
      <c r="E29" s="58"/>
      <c r="G29" s="38" t="s">
        <v>58</v>
      </c>
    </row>
    <row r="30" spans="1:9" ht="15.75" customHeight="1" x14ac:dyDescent="0.2">
      <c r="A30" s="60"/>
      <c r="B30" s="61">
        <f>+B19+(B32*B27)+(B28*B32)+(B26*B32)+B29+B20+B21+B22+B24+B23+B25</f>
        <v>232.43</v>
      </c>
      <c r="C30" s="62" t="s">
        <v>38</v>
      </c>
      <c r="D30" s="63"/>
      <c r="E30" s="64"/>
    </row>
    <row r="31" spans="1:9" ht="15.75" customHeight="1" x14ac:dyDescent="0.15"/>
    <row r="32" spans="1:9" ht="15.75" customHeight="1" x14ac:dyDescent="0.2">
      <c r="A32" s="65" t="s">
        <v>59</v>
      </c>
      <c r="B32" s="66">
        <v>500</v>
      </c>
      <c r="C32" s="111" t="s">
        <v>60</v>
      </c>
      <c r="D32" s="112"/>
      <c r="E32" s="113"/>
    </row>
    <row r="33" spans="1:3" ht="15.75" customHeight="1" x14ac:dyDescent="0.15"/>
    <row r="34" spans="1:3" ht="15.75" customHeight="1" x14ac:dyDescent="0.2">
      <c r="A34" s="67" t="s">
        <v>61</v>
      </c>
      <c r="B34" s="68">
        <f>+B16</f>
        <v>20900</v>
      </c>
      <c r="C34" s="69" t="s">
        <v>13</v>
      </c>
    </row>
    <row r="35" spans="1:3" ht="15.75" customHeight="1" x14ac:dyDescent="0.2">
      <c r="A35" s="70" t="s">
        <v>62</v>
      </c>
      <c r="B35" s="71">
        <f>+B32-B30</f>
        <v>267.57</v>
      </c>
      <c r="C35" s="72" t="s">
        <v>63</v>
      </c>
    </row>
    <row r="36" spans="1:3" ht="15.75" customHeight="1" x14ac:dyDescent="0.2">
      <c r="A36" s="73"/>
      <c r="B36" s="74">
        <f>+B34/B35</f>
        <v>78.110401016556423</v>
      </c>
      <c r="C36" s="75" t="s">
        <v>64</v>
      </c>
    </row>
    <row r="37" spans="1:3" ht="15.75" customHeight="1" x14ac:dyDescent="0.15"/>
    <row r="38" spans="1:3" ht="15.75" customHeight="1" x14ac:dyDescent="0.2">
      <c r="A38" s="38" t="s">
        <v>65</v>
      </c>
    </row>
    <row r="39" spans="1:3" ht="15.75" customHeight="1" x14ac:dyDescent="0.2">
      <c r="A39" s="38" t="s">
        <v>66</v>
      </c>
    </row>
    <row r="40" spans="1:3" ht="15.75" customHeight="1" x14ac:dyDescent="0.2">
      <c r="A40" s="38" t="s">
        <v>67</v>
      </c>
    </row>
    <row r="41" spans="1:3" ht="15.75" customHeight="1" x14ac:dyDescent="0.15"/>
    <row r="42" spans="1:3" ht="15.75" customHeight="1" x14ac:dyDescent="0.2">
      <c r="A42" s="38" t="s">
        <v>68</v>
      </c>
    </row>
    <row r="43" spans="1:3" ht="15.75" customHeight="1" x14ac:dyDescent="0.15"/>
    <row r="44" spans="1:3" ht="15.75" customHeight="1" x14ac:dyDescent="0.15"/>
    <row r="45" spans="1:3" ht="15.75" customHeight="1" x14ac:dyDescent="0.15"/>
    <row r="46" spans="1:3" ht="15.75" customHeight="1" x14ac:dyDescent="0.15"/>
    <row r="47" spans="1:3" ht="15.75" customHeight="1" x14ac:dyDescent="0.15"/>
    <row r="48" spans="1:3"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1">
    <mergeCell ref="C32:E32"/>
  </mergeCells>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00"/>
  <sheetViews>
    <sheetView workbookViewId="0"/>
  </sheetViews>
  <sheetFormatPr defaultColWidth="12.625" defaultRowHeight="15" customHeight="1" x14ac:dyDescent="0.15"/>
  <cols>
    <col min="1" max="1" width="10.05078125" customWidth="1"/>
    <col min="2" max="2" width="15.69140625" customWidth="1"/>
    <col min="3" max="3" width="107.7578125" customWidth="1"/>
    <col min="4" max="26" width="10.05078125" customWidth="1"/>
  </cols>
  <sheetData>
    <row r="1" spans="1:3" x14ac:dyDescent="0.2">
      <c r="A1" s="76"/>
      <c r="B1" s="77" t="s">
        <v>69</v>
      </c>
      <c r="C1" s="78" t="s">
        <v>70</v>
      </c>
    </row>
    <row r="2" spans="1:3" ht="41.25" x14ac:dyDescent="0.2">
      <c r="A2" s="114" t="s">
        <v>71</v>
      </c>
      <c r="B2" s="79" t="s">
        <v>72</v>
      </c>
      <c r="C2" s="80" t="s">
        <v>73</v>
      </c>
    </row>
    <row r="3" spans="1:3" ht="41.25" x14ac:dyDescent="0.2">
      <c r="A3" s="115"/>
      <c r="B3" s="81" t="s">
        <v>74</v>
      </c>
      <c r="C3" s="82" t="s">
        <v>75</v>
      </c>
    </row>
    <row r="4" spans="1:3" ht="68.25" x14ac:dyDescent="0.2">
      <c r="A4" s="116"/>
      <c r="B4" s="83" t="s">
        <v>76</v>
      </c>
      <c r="C4" s="82" t="s">
        <v>77</v>
      </c>
    </row>
    <row r="5" spans="1:3" ht="27.75" x14ac:dyDescent="0.2">
      <c r="A5" s="114" t="s">
        <v>33</v>
      </c>
      <c r="B5" s="79" t="s">
        <v>78</v>
      </c>
      <c r="C5" s="82" t="s">
        <v>79</v>
      </c>
    </row>
    <row r="6" spans="1:3" ht="41.25" x14ac:dyDescent="0.2">
      <c r="A6" s="115"/>
      <c r="B6" s="81" t="s">
        <v>80</v>
      </c>
      <c r="C6" s="84" t="s">
        <v>81</v>
      </c>
    </row>
    <row r="7" spans="1:3" ht="54.75" x14ac:dyDescent="0.2">
      <c r="A7" s="116"/>
      <c r="B7" s="83" t="s">
        <v>82</v>
      </c>
      <c r="C7" s="85" t="s">
        <v>83</v>
      </c>
    </row>
    <row r="21" ht="15.75" customHeight="1" x14ac:dyDescent="0.15"/>
    <row r="22" ht="15.75" customHeight="1" x14ac:dyDescent="0.15"/>
    <row r="23" ht="15.75" customHeight="1" x14ac:dyDescent="0.15"/>
    <row r="24" ht="15.75" customHeight="1" x14ac:dyDescent="0.15"/>
    <row r="25" ht="15.75" customHeight="1" x14ac:dyDescent="0.15"/>
    <row r="26" ht="15.75" customHeight="1" x14ac:dyDescent="0.15"/>
    <row r="27" ht="15.75" customHeight="1" x14ac:dyDescent="0.15"/>
    <row r="28" ht="15.75" customHeight="1" x14ac:dyDescent="0.15"/>
    <row r="29" ht="15.75" customHeight="1" x14ac:dyDescent="0.15"/>
    <row r="30" ht="15.75" customHeight="1" x14ac:dyDescent="0.15"/>
    <row r="31" ht="15.75" customHeight="1" x14ac:dyDescent="0.15"/>
    <row r="32"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2">
    <mergeCell ref="A2:A4"/>
    <mergeCell ref="A5:A7"/>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2:O41"/>
  <sheetViews>
    <sheetView workbookViewId="0"/>
  </sheetViews>
  <sheetFormatPr defaultColWidth="12.625" defaultRowHeight="15" customHeight="1" x14ac:dyDescent="0.15"/>
  <cols>
    <col min="1" max="1" width="13.97265625" customWidth="1"/>
    <col min="2" max="2" width="18.140625" customWidth="1"/>
    <col min="5" max="5" width="14.7109375" customWidth="1"/>
  </cols>
  <sheetData>
    <row r="2" spans="1:5" x14ac:dyDescent="0.2">
      <c r="A2" s="117" t="s">
        <v>84</v>
      </c>
      <c r="B2" s="112"/>
      <c r="C2" s="112"/>
      <c r="D2" s="112"/>
      <c r="E2" s="113"/>
    </row>
    <row r="3" spans="1:5" x14ac:dyDescent="0.2">
      <c r="A3" s="86" t="s">
        <v>85</v>
      </c>
      <c r="B3" s="87" t="s">
        <v>86</v>
      </c>
      <c r="C3" s="87" t="s">
        <v>87</v>
      </c>
      <c r="D3" s="88" t="s">
        <v>88</v>
      </c>
      <c r="E3" s="88"/>
    </row>
    <row r="4" spans="1:5" x14ac:dyDescent="0.2">
      <c r="A4" s="88" t="s">
        <v>89</v>
      </c>
      <c r="B4" s="89">
        <v>210</v>
      </c>
      <c r="C4" s="90">
        <v>0</v>
      </c>
      <c r="D4" s="89">
        <f t="shared" ref="D4:D13" si="0">B4*C4</f>
        <v>0</v>
      </c>
      <c r="E4" s="91" t="s">
        <v>90</v>
      </c>
    </row>
    <row r="5" spans="1:5" x14ac:dyDescent="0.2">
      <c r="A5" s="88" t="s">
        <v>91</v>
      </c>
      <c r="B5" s="89">
        <v>0</v>
      </c>
      <c r="C5" s="89">
        <v>0</v>
      </c>
      <c r="D5" s="89">
        <f t="shared" si="0"/>
        <v>0</v>
      </c>
      <c r="E5" s="88" t="s">
        <v>92</v>
      </c>
    </row>
    <row r="6" spans="1:5" x14ac:dyDescent="0.2">
      <c r="A6" s="88" t="s">
        <v>93</v>
      </c>
      <c r="B6" s="89">
        <v>200</v>
      </c>
      <c r="C6" s="90">
        <v>0</v>
      </c>
      <c r="D6" s="89">
        <f t="shared" si="0"/>
        <v>0</v>
      </c>
      <c r="E6" s="91" t="s">
        <v>90</v>
      </c>
    </row>
    <row r="7" spans="1:5" x14ac:dyDescent="0.2">
      <c r="A7" s="88" t="s">
        <v>94</v>
      </c>
      <c r="B7" s="89">
        <v>100</v>
      </c>
      <c r="C7" s="89">
        <v>6</v>
      </c>
      <c r="D7" s="89">
        <f t="shared" si="0"/>
        <v>600</v>
      </c>
      <c r="E7" s="91" t="s">
        <v>90</v>
      </c>
    </row>
    <row r="8" spans="1:5" x14ac:dyDescent="0.2">
      <c r="A8" s="88" t="s">
        <v>95</v>
      </c>
      <c r="B8" s="89">
        <v>0</v>
      </c>
      <c r="C8" s="89">
        <v>0</v>
      </c>
      <c r="D8" s="89">
        <f t="shared" si="0"/>
        <v>0</v>
      </c>
      <c r="E8" s="88" t="s">
        <v>96</v>
      </c>
    </row>
    <row r="9" spans="1:5" x14ac:dyDescent="0.2">
      <c r="A9" s="88" t="s">
        <v>97</v>
      </c>
      <c r="B9" s="89">
        <v>0</v>
      </c>
      <c r="C9" s="89">
        <v>0</v>
      </c>
      <c r="D9" s="89">
        <f t="shared" si="0"/>
        <v>0</v>
      </c>
      <c r="E9" s="88" t="s">
        <v>96</v>
      </c>
    </row>
    <row r="10" spans="1:5" x14ac:dyDescent="0.2">
      <c r="A10" s="91" t="s">
        <v>98</v>
      </c>
      <c r="B10" s="91">
        <v>1200</v>
      </c>
      <c r="C10" s="91">
        <v>1</v>
      </c>
      <c r="D10" s="89">
        <f t="shared" si="0"/>
        <v>1200</v>
      </c>
      <c r="E10" s="91" t="s">
        <v>90</v>
      </c>
    </row>
    <row r="11" spans="1:5" x14ac:dyDescent="0.2">
      <c r="A11" s="91" t="s">
        <v>99</v>
      </c>
      <c r="B11" s="91">
        <v>300</v>
      </c>
      <c r="C11" s="91">
        <v>1</v>
      </c>
      <c r="D11" s="89">
        <f t="shared" si="0"/>
        <v>300</v>
      </c>
      <c r="E11" s="91" t="s">
        <v>90</v>
      </c>
    </row>
    <row r="12" spans="1:5" x14ac:dyDescent="0.2">
      <c r="A12" s="88"/>
      <c r="B12" s="88"/>
      <c r="C12" s="88"/>
      <c r="D12" s="89">
        <f t="shared" si="0"/>
        <v>0</v>
      </c>
      <c r="E12" s="88"/>
    </row>
    <row r="13" spans="1:5" x14ac:dyDescent="0.2">
      <c r="A13" s="88"/>
      <c r="B13" s="88"/>
      <c r="C13" s="88"/>
      <c r="D13" s="89">
        <f t="shared" si="0"/>
        <v>0</v>
      </c>
      <c r="E13" s="88"/>
    </row>
    <row r="14" spans="1:5" x14ac:dyDescent="0.2">
      <c r="A14" s="92" t="s">
        <v>88</v>
      </c>
      <c r="B14" s="92"/>
      <c r="C14" s="92"/>
      <c r="D14" s="93">
        <f>SUM(D4:D13)</f>
        <v>2100</v>
      </c>
      <c r="E14" s="92"/>
    </row>
    <row r="17" spans="1:15" x14ac:dyDescent="0.2">
      <c r="A17" s="117" t="s">
        <v>100</v>
      </c>
      <c r="B17" s="112"/>
      <c r="C17" s="112"/>
      <c r="D17" s="112"/>
      <c r="E17" s="113"/>
      <c r="G17" s="117" t="s">
        <v>101</v>
      </c>
      <c r="H17" s="113"/>
      <c r="J17" s="94" t="s">
        <v>102</v>
      </c>
      <c r="K17" s="95" t="s">
        <v>103</v>
      </c>
      <c r="L17" s="95" t="s">
        <v>104</v>
      </c>
      <c r="M17" s="96" t="s">
        <v>105</v>
      </c>
    </row>
    <row r="18" spans="1:15" x14ac:dyDescent="0.2">
      <c r="A18" s="97"/>
      <c r="B18" s="98" t="s">
        <v>106</v>
      </c>
      <c r="C18" s="98" t="s">
        <v>59</v>
      </c>
      <c r="D18" s="98" t="s">
        <v>107</v>
      </c>
      <c r="E18" s="98" t="s">
        <v>108</v>
      </c>
      <c r="G18" s="98" t="s">
        <v>109</v>
      </c>
      <c r="H18" s="98">
        <v>19.75</v>
      </c>
      <c r="J18" s="95"/>
      <c r="K18" s="95" t="s">
        <v>110</v>
      </c>
      <c r="L18" s="95" t="s">
        <v>111</v>
      </c>
    </row>
    <row r="19" spans="1:15" x14ac:dyDescent="0.2">
      <c r="A19" s="98">
        <v>1</v>
      </c>
      <c r="B19" s="98" t="s">
        <v>112</v>
      </c>
      <c r="C19" s="98">
        <v>90</v>
      </c>
      <c r="D19" s="98">
        <v>1</v>
      </c>
      <c r="E19" s="99">
        <f t="shared" ref="E19:E22" si="1">C19*D19</f>
        <v>90</v>
      </c>
      <c r="G19" s="98" t="s">
        <v>113</v>
      </c>
      <c r="H19" s="98">
        <v>1.98</v>
      </c>
      <c r="J19" s="95"/>
      <c r="K19" s="95" t="s">
        <v>114</v>
      </c>
      <c r="L19" s="95" t="s">
        <v>115</v>
      </c>
      <c r="O19" s="100"/>
    </row>
    <row r="20" spans="1:15" x14ac:dyDescent="0.2">
      <c r="A20" s="98">
        <v>2</v>
      </c>
      <c r="B20" s="98" t="s">
        <v>116</v>
      </c>
      <c r="C20" s="98">
        <v>100</v>
      </c>
      <c r="D20" s="98">
        <v>1</v>
      </c>
      <c r="E20" s="99">
        <f t="shared" si="1"/>
        <v>100</v>
      </c>
      <c r="G20" s="98" t="s">
        <v>117</v>
      </c>
      <c r="H20" s="98">
        <v>0</v>
      </c>
      <c r="J20" s="95"/>
      <c r="K20" s="95" t="s">
        <v>118</v>
      </c>
      <c r="L20" s="95" t="s">
        <v>119</v>
      </c>
      <c r="O20" s="100"/>
    </row>
    <row r="21" spans="1:15" x14ac:dyDescent="0.2">
      <c r="A21" s="98">
        <v>3</v>
      </c>
      <c r="B21" s="98" t="s">
        <v>120</v>
      </c>
      <c r="C21" s="98">
        <v>120</v>
      </c>
      <c r="D21" s="101">
        <v>1</v>
      </c>
      <c r="E21" s="99">
        <f t="shared" si="1"/>
        <v>120</v>
      </c>
      <c r="G21" s="98" t="s">
        <v>121</v>
      </c>
      <c r="H21" s="98">
        <v>0</v>
      </c>
      <c r="O21" s="100"/>
    </row>
    <row r="22" spans="1:15" x14ac:dyDescent="0.2">
      <c r="A22" s="98">
        <v>4</v>
      </c>
      <c r="B22" s="98" t="s">
        <v>122</v>
      </c>
      <c r="C22" s="98">
        <v>120</v>
      </c>
      <c r="D22" s="101">
        <v>1</v>
      </c>
      <c r="E22" s="99">
        <f t="shared" si="1"/>
        <v>120</v>
      </c>
      <c r="G22" s="98" t="s">
        <v>123</v>
      </c>
      <c r="H22" s="98">
        <v>1.2</v>
      </c>
    </row>
    <row r="23" spans="1:15" x14ac:dyDescent="0.2">
      <c r="A23" s="98" t="s">
        <v>124</v>
      </c>
      <c r="B23" s="99"/>
      <c r="C23" s="99">
        <f>AVERAGE(C19:C22)</f>
        <v>107.5</v>
      </c>
      <c r="D23" s="99">
        <f t="shared" ref="D23:E23" si="2">SUM(D19:D22)</f>
        <v>4</v>
      </c>
      <c r="E23" s="99">
        <f t="shared" si="2"/>
        <v>430</v>
      </c>
      <c r="G23" s="98" t="s">
        <v>125</v>
      </c>
      <c r="H23" s="99">
        <f>SUM(H18:H22)</f>
        <v>22.93</v>
      </c>
    </row>
    <row r="24" spans="1:15" x14ac:dyDescent="0.2">
      <c r="C24" s="102">
        <f>(C19*D19+C20*D20+C21*D21+C22*D22)/D23</f>
        <v>107.5</v>
      </c>
      <c r="D24" s="1" t="s">
        <v>126</v>
      </c>
    </row>
    <row r="25" spans="1:15" x14ac:dyDescent="0.2">
      <c r="A25" s="98" t="s">
        <v>127</v>
      </c>
      <c r="B25" s="103">
        <f>E23/D23</f>
        <v>107.5</v>
      </c>
    </row>
    <row r="27" spans="1:15" x14ac:dyDescent="0.2">
      <c r="A27" s="98" t="s">
        <v>128</v>
      </c>
      <c r="B27" s="98" t="s">
        <v>129</v>
      </c>
      <c r="C27" s="98" t="s">
        <v>130</v>
      </c>
      <c r="D27" s="98" t="s">
        <v>131</v>
      </c>
      <c r="E27" s="98" t="s">
        <v>132</v>
      </c>
      <c r="F27" s="98" t="s">
        <v>133</v>
      </c>
      <c r="J27" s="117" t="s">
        <v>134</v>
      </c>
      <c r="K27" s="112"/>
      <c r="L27" s="112"/>
      <c r="M27" s="113"/>
    </row>
    <row r="28" spans="1:15" x14ac:dyDescent="0.2">
      <c r="A28" s="98" t="s">
        <v>112</v>
      </c>
      <c r="B28" s="98">
        <v>58</v>
      </c>
      <c r="C28" s="98">
        <v>120</v>
      </c>
      <c r="D28" s="99">
        <f t="shared" ref="D28:D31" si="3">C28-B28</f>
        <v>62</v>
      </c>
      <c r="E28" s="104">
        <f t="shared" ref="E28:E31" si="4">1000/D28</f>
        <v>16.129032258064516</v>
      </c>
      <c r="F28" s="103">
        <f t="shared" ref="F28:F31" si="5">20000/D28</f>
        <v>322.58064516129031</v>
      </c>
      <c r="J28" s="99"/>
      <c r="K28" s="98" t="s">
        <v>86</v>
      </c>
      <c r="L28" s="98" t="s">
        <v>135</v>
      </c>
      <c r="M28" s="98" t="s">
        <v>136</v>
      </c>
    </row>
    <row r="29" spans="1:15" x14ac:dyDescent="0.2">
      <c r="A29" s="98" t="s">
        <v>116</v>
      </c>
      <c r="B29" s="105">
        <v>98.7</v>
      </c>
      <c r="C29" s="98">
        <v>160</v>
      </c>
      <c r="D29" s="106">
        <f t="shared" si="3"/>
        <v>61.3</v>
      </c>
      <c r="E29" s="104">
        <f t="shared" si="4"/>
        <v>16.31321370309951</v>
      </c>
      <c r="F29" s="103">
        <f t="shared" si="5"/>
        <v>326.26427406199025</v>
      </c>
      <c r="J29" s="107" t="s">
        <v>137</v>
      </c>
      <c r="K29" s="98">
        <v>210</v>
      </c>
      <c r="L29" s="98">
        <v>20</v>
      </c>
      <c r="M29" s="99">
        <f t="shared" ref="M29:M30" si="6">K29/L29</f>
        <v>10.5</v>
      </c>
    </row>
    <row r="30" spans="1:15" x14ac:dyDescent="0.2">
      <c r="A30" s="98" t="s">
        <v>120</v>
      </c>
      <c r="B30" s="105">
        <v>146.80000000000001</v>
      </c>
      <c r="C30" s="98">
        <v>185</v>
      </c>
      <c r="D30" s="106">
        <f t="shared" si="3"/>
        <v>38.199999999999989</v>
      </c>
      <c r="E30" s="104">
        <f t="shared" si="4"/>
        <v>26.178010471204196</v>
      </c>
      <c r="F30" s="103">
        <f t="shared" si="5"/>
        <v>523.56020942408395</v>
      </c>
      <c r="J30" s="107" t="s">
        <v>138</v>
      </c>
      <c r="K30" s="98">
        <v>1600</v>
      </c>
      <c r="L30" s="98">
        <v>400</v>
      </c>
      <c r="M30" s="99">
        <f t="shared" si="6"/>
        <v>4</v>
      </c>
    </row>
    <row r="31" spans="1:15" x14ac:dyDescent="0.2">
      <c r="A31" s="98" t="s">
        <v>122</v>
      </c>
      <c r="B31" s="105">
        <v>162.4</v>
      </c>
      <c r="C31" s="98">
        <v>200</v>
      </c>
      <c r="D31" s="106">
        <f t="shared" si="3"/>
        <v>37.599999999999994</v>
      </c>
      <c r="E31" s="104">
        <f t="shared" si="4"/>
        <v>26.59574468085107</v>
      </c>
      <c r="F31" s="103">
        <f t="shared" si="5"/>
        <v>531.91489361702133</v>
      </c>
    </row>
    <row r="32" spans="1:15" x14ac:dyDescent="0.2">
      <c r="A32" s="98" t="s">
        <v>88</v>
      </c>
      <c r="B32" s="99">
        <f t="shared" ref="B32:C32" si="7">SUM(B28:B31)</f>
        <v>465.9</v>
      </c>
      <c r="C32" s="99">
        <f t="shared" si="7"/>
        <v>665</v>
      </c>
      <c r="D32" s="99"/>
      <c r="E32" s="103">
        <f t="shared" ref="E32:F32" si="8">AVERAGE(E28:E31)</f>
        <v>21.304000278304823</v>
      </c>
      <c r="F32" s="103">
        <f t="shared" si="8"/>
        <v>426.08000556609647</v>
      </c>
    </row>
    <row r="35" spans="1:12" x14ac:dyDescent="0.2">
      <c r="A35" s="117" t="s">
        <v>139</v>
      </c>
      <c r="B35" s="112"/>
      <c r="C35" s="112"/>
      <c r="D35" s="112"/>
      <c r="E35" s="113"/>
      <c r="I35" s="108" t="s">
        <v>140</v>
      </c>
      <c r="J35" s="109"/>
      <c r="K35" s="109"/>
      <c r="L35" s="109"/>
    </row>
    <row r="36" spans="1:12" x14ac:dyDescent="0.2">
      <c r="A36" s="98" t="s">
        <v>141</v>
      </c>
      <c r="B36" s="98" t="s">
        <v>142</v>
      </c>
      <c r="C36" s="98" t="s">
        <v>86</v>
      </c>
      <c r="D36" s="98" t="s">
        <v>143</v>
      </c>
      <c r="E36" s="98" t="s">
        <v>144</v>
      </c>
      <c r="I36" s="109"/>
      <c r="J36" s="109"/>
      <c r="K36" s="109"/>
      <c r="L36" s="109"/>
    </row>
    <row r="37" spans="1:12" x14ac:dyDescent="0.2">
      <c r="A37" s="98" t="s">
        <v>145</v>
      </c>
      <c r="B37" s="98">
        <v>16</v>
      </c>
      <c r="C37" s="98">
        <v>225</v>
      </c>
      <c r="D37" s="103">
        <f t="shared" ref="D37:D39" si="9">C37/B37</f>
        <v>14.0625</v>
      </c>
      <c r="E37" s="103">
        <f t="shared" ref="E37:E39" si="10">D37+$B$41</f>
        <v>22.0625</v>
      </c>
      <c r="I37" s="109"/>
      <c r="J37" s="109"/>
      <c r="K37" s="109"/>
      <c r="L37" s="109"/>
    </row>
    <row r="38" spans="1:12" x14ac:dyDescent="0.2">
      <c r="A38" s="98" t="s">
        <v>146</v>
      </c>
      <c r="B38" s="98">
        <v>24</v>
      </c>
      <c r="C38" s="98">
        <v>200</v>
      </c>
      <c r="D38" s="103">
        <f t="shared" si="9"/>
        <v>8.3333333333333339</v>
      </c>
      <c r="E38" s="103">
        <f t="shared" si="10"/>
        <v>16.333333333333336</v>
      </c>
      <c r="I38" s="109"/>
      <c r="J38" s="109"/>
      <c r="K38" s="109"/>
      <c r="L38" s="109"/>
    </row>
    <row r="39" spans="1:12" x14ac:dyDescent="0.2">
      <c r="A39" s="98" t="s">
        <v>147</v>
      </c>
      <c r="B39" s="98">
        <f>5*4.2</f>
        <v>21</v>
      </c>
      <c r="C39" s="98">
        <v>95</v>
      </c>
      <c r="D39" s="103">
        <f t="shared" si="9"/>
        <v>4.5238095238095237</v>
      </c>
      <c r="E39" s="103">
        <f t="shared" si="10"/>
        <v>12.523809523809524</v>
      </c>
    </row>
    <row r="41" spans="1:12" x14ac:dyDescent="0.2">
      <c r="A41" s="98" t="s">
        <v>148</v>
      </c>
      <c r="B41" s="101">
        <v>8</v>
      </c>
    </row>
  </sheetData>
  <mergeCells count="5">
    <mergeCell ref="A2:E2"/>
    <mergeCell ref="A17:E17"/>
    <mergeCell ref="G17:H17"/>
    <mergeCell ref="J27:M27"/>
    <mergeCell ref="A35:E3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B3:C15"/>
  <sheetViews>
    <sheetView workbookViewId="0"/>
  </sheetViews>
  <sheetFormatPr defaultColWidth="12.625" defaultRowHeight="15" customHeight="1" x14ac:dyDescent="0.15"/>
  <cols>
    <col min="2" max="2" width="19" customWidth="1"/>
  </cols>
  <sheetData>
    <row r="3" spans="2:3" x14ac:dyDescent="0.2">
      <c r="B3" s="117" t="s">
        <v>149</v>
      </c>
      <c r="C3" s="113"/>
    </row>
    <row r="4" spans="2:3" x14ac:dyDescent="0.2">
      <c r="B4" s="98" t="s">
        <v>150</v>
      </c>
      <c r="C4" s="98">
        <v>7900</v>
      </c>
    </row>
    <row r="5" spans="2:3" x14ac:dyDescent="0.2">
      <c r="B5" s="98" t="s">
        <v>151</v>
      </c>
      <c r="C5" s="99"/>
    </row>
    <row r="6" spans="2:3" x14ac:dyDescent="0.2">
      <c r="B6" s="98" t="s">
        <v>152</v>
      </c>
      <c r="C6" s="101">
        <v>15000</v>
      </c>
    </row>
    <row r="7" spans="2:3" x14ac:dyDescent="0.2">
      <c r="B7" s="98" t="s">
        <v>123</v>
      </c>
      <c r="C7" s="98">
        <v>120</v>
      </c>
    </row>
    <row r="8" spans="2:3" x14ac:dyDescent="0.2">
      <c r="B8" s="98" t="s">
        <v>153</v>
      </c>
      <c r="C8" s="98">
        <v>1500</v>
      </c>
    </row>
    <row r="9" spans="2:3" x14ac:dyDescent="0.2">
      <c r="B9" s="98" t="s">
        <v>154</v>
      </c>
      <c r="C9" s="98">
        <v>1600</v>
      </c>
    </row>
    <row r="10" spans="2:3" x14ac:dyDescent="0.2">
      <c r="B10" s="98" t="s">
        <v>155</v>
      </c>
      <c r="C10" s="101"/>
    </row>
    <row r="11" spans="2:3" x14ac:dyDescent="0.2">
      <c r="B11" s="98" t="s">
        <v>156</v>
      </c>
      <c r="C11" s="99"/>
    </row>
    <row r="12" spans="2:3" x14ac:dyDescent="0.2">
      <c r="B12" s="110" t="s">
        <v>25</v>
      </c>
      <c r="C12" s="98">
        <v>1000</v>
      </c>
    </row>
    <row r="13" spans="2:3" x14ac:dyDescent="0.2">
      <c r="B13" s="110" t="s">
        <v>29</v>
      </c>
      <c r="C13" s="98">
        <v>2100</v>
      </c>
    </row>
    <row r="14" spans="2:3" x14ac:dyDescent="0.2">
      <c r="B14" s="98" t="s">
        <v>157</v>
      </c>
      <c r="C14" s="98">
        <v>1000</v>
      </c>
    </row>
    <row r="15" spans="2:3" x14ac:dyDescent="0.2">
      <c r="B15" s="98" t="s">
        <v>136</v>
      </c>
      <c r="C15" s="99">
        <f>SUM(C4:C14)</f>
        <v>30220</v>
      </c>
    </row>
  </sheetData>
  <mergeCells count="1">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Excel Android</Application>
  <ScaleCrop>false</ScaleCrop>
  <HeadingPairs>
    <vt:vector size="2" baseType="variant">
      <vt:variant>
        <vt:lpstr>Hojas de cálculo</vt:lpstr>
      </vt:variant>
      <vt:variant>
        <vt:i4>4</vt:i4>
      </vt:variant>
    </vt:vector>
  </HeadingPairs>
  <TitlesOfParts>
    <vt:vector size="4" baseType="lpstr">
      <vt:lpstr>Cálculo</vt:lpstr>
      <vt:lpstr>Justificación</vt:lpstr>
      <vt:lpstr>costos fijos y variables</vt:lpstr>
      <vt:lpstr>precios minimos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dcterms:created xsi:type="dcterms:W3CDTF">2021-01-12T19:33:14Z</dcterms:created>
</cp:coreProperties>
</file>