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xr:revisionPtr revIDLastSave="0" documentId="8_{7B531DF6-BF55-BA42-92D6-7EEFDB0BDFE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Cálculo" sheetId="1" r:id="rId1"/>
    <sheet name="Justificació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EIUDAVvU1k7XLE5HdiiJTe7hGUg==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6" i="1"/>
  <c r="B31" i="1"/>
  <c r="B19" i="1"/>
  <c r="B20" i="1"/>
  <c r="B21" i="1"/>
  <c r="D22" i="1"/>
  <c r="B22" i="1"/>
  <c r="D23" i="1"/>
  <c r="B23" i="1"/>
  <c r="B27" i="1"/>
  <c r="B32" i="1"/>
  <c r="B33" i="1"/>
  <c r="H21" i="1"/>
  <c r="H3" i="1"/>
  <c r="H8" i="1"/>
  <c r="H20" i="1"/>
  <c r="H22" i="1"/>
  <c r="H18" i="1"/>
  <c r="H19" i="1"/>
  <c r="H23" i="1"/>
  <c r="H17" i="1"/>
  <c r="K3" i="1"/>
  <c r="K6" i="1"/>
  <c r="K8" i="1"/>
  <c r="K7" i="1"/>
  <c r="K9" i="1"/>
  <c r="K10" i="1"/>
  <c r="K11" i="1"/>
  <c r="K12" i="1"/>
  <c r="K13" i="1"/>
  <c r="K14" i="1"/>
  <c r="J3" i="1"/>
  <c r="J6" i="1"/>
  <c r="J8" i="1"/>
  <c r="J7" i="1"/>
  <c r="J9" i="1"/>
  <c r="J10" i="1"/>
  <c r="J11" i="1"/>
  <c r="J12" i="1"/>
  <c r="J13" i="1"/>
  <c r="J14" i="1"/>
  <c r="I6" i="1"/>
  <c r="I8" i="1"/>
  <c r="I7" i="1"/>
  <c r="I9" i="1"/>
  <c r="I10" i="1"/>
  <c r="I11" i="1"/>
  <c r="I12" i="1"/>
  <c r="I13" i="1"/>
  <c r="I14" i="1"/>
  <c r="H6" i="1"/>
  <c r="H7" i="1"/>
  <c r="H9" i="1"/>
  <c r="H10" i="1"/>
  <c r="H11" i="1"/>
  <c r="H12" i="1"/>
  <c r="H13" i="1"/>
  <c r="H14" i="1"/>
  <c r="K4" i="1"/>
  <c r="K5" i="1"/>
  <c r="J4" i="1"/>
  <c r="J5" i="1"/>
  <c r="I4" i="1"/>
  <c r="I5" i="1"/>
  <c r="H4" i="1"/>
  <c r="H5" i="1"/>
</calcChain>
</file>

<file path=xl/sharedStrings.xml><?xml version="1.0" encoding="utf-8"?>
<sst xmlns="http://schemas.openxmlformats.org/spreadsheetml/2006/main" count="79" uniqueCount="74">
  <si>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</si>
  <si>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</si>
  <si>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</si>
  <si>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</si>
  <si>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</si>
  <si>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</si>
  <si>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</si>
  <si>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</si>
  <si>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</si>
  <si>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</si>
  <si>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</si>
  <si>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</si>
  <si>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</si>
  <si>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</si>
  <si>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</si>
  <si>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</si>
  <si>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</si>
  <si>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</si>
  <si>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</si>
  <si>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</si>
  <si>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</si>
  <si>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</si>
  <si>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</si>
  <si>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</si>
  <si>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</si>
  <si>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</si>
  <si>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</si>
  <si>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</si>
  <si>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</si>
  <si>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</si>
  <si>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</si>
  <si>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</si>
  <si>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</si>
  <si>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</si>
  <si>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</si>
  <si>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</si>
  <si>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</si>
  <si>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</si>
  <si>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10 kg Cera de soja (costos de este insumo por unidad producida)</t>
  </si>
  <si>
    <t>Acciones Externas</t>
  </si>
  <si>
    <t>Insumo 2: Palibo (costos de este insumo por unidad producida)</t>
  </si>
  <si>
    <t>Costos Variables (al PE)</t>
  </si>
  <si>
    <t>Insumo 3: Ojalillos (costos de este insumo por unidad producida)</t>
  </si>
  <si>
    <t>Insumo 4: Esencia (costos de este insumo por unidad producida)</t>
  </si>
  <si>
    <t>Total Capital Inicial (PE)</t>
  </si>
  <si>
    <t>Insumo 5: Sticker frasco (costos de este insumo por unidad producida)</t>
  </si>
  <si>
    <t>Valor de Acción</t>
  </si>
  <si>
    <t>Comisión por venta</t>
  </si>
  <si>
    <t>Supuestos de este cálculo de desarrollo de capital inicial:</t>
  </si>
  <si>
    <t>Costos asociados a la cobranza de venta unitaria (Mercado Pago, Posnet, Tarjetas, etc.)</t>
  </si>
  <si>
    <t>cantidad de acciones emitidas = el doble que la cantidad de miembros de tu emprendimiento</t>
  </si>
  <si>
    <t>Costos asociados a distribución y entrega unitaria</t>
  </si>
  <si>
    <t>capital inicial = para cubrir el total de tus costos fijos + los costos variables hasta alcanzar PE (para después reinvertir para seguir produciendo)</t>
  </si>
  <si>
    <t>*si querés, podés modificar cualquiera de estos supuestos</t>
  </si>
  <si>
    <t>**ver también el cálculo que se desprende en el SGME como sugerencia de valor de acción</t>
  </si>
  <si>
    <t>Precio</t>
  </si>
  <si>
    <t>No puede ser menor al costo variable unitario, debe contemplar margen para costos fijos + % de ganancia + riesgos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</si>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</sst>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&quot;$&quot;\ #,##0.0;&quot;$&quot;\ \-#,##0.0"/>
  </numFmts>
  <fonts count="6" x14ac:knownFonts="1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0" fillId="4" borderId="1" xfId="0" applyNumberFormat="1" applyFont="1" applyFill="1" applyBorder="1"/>
    <xf numFmtId="1" fontId="3" fillId="4" borderId="1" xfId="0" applyNumberFormat="1" applyFont="1" applyFill="1" applyBorder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0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0" fillId="6" borderId="2" xfId="0" applyNumberFormat="1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164" fontId="3" fillId="6" borderId="2" xfId="0" applyNumberFormat="1" applyFont="1" applyFill="1" applyBorder="1" applyAlignment="1"/>
    <xf numFmtId="0" fontId="3" fillId="0" borderId="0" xfId="0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9" fontId="0" fillId="0" borderId="0" xfId="0" applyNumberFormat="1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/>
    <xf numFmtId="164" fontId="0" fillId="6" borderId="4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/>
    <xf numFmtId="165" fontId="3" fillId="6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166" fontId="3" fillId="6" borderId="2" xfId="0" applyNumberFormat="1" applyFont="1" applyFill="1" applyBorder="1"/>
    <xf numFmtId="9" fontId="3" fillId="6" borderId="2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164" fontId="3" fillId="0" borderId="0" xfId="0" applyNumberFormat="1" applyFont="1"/>
    <xf numFmtId="0" fontId="0" fillId="9" borderId="11" xfId="0" applyFont="1" applyFill="1" applyBorder="1"/>
    <xf numFmtId="164" fontId="0" fillId="6" borderId="12" xfId="0" applyNumberFormat="1" applyFont="1" applyFill="1" applyBorder="1"/>
    <xf numFmtId="0" fontId="0" fillId="9" borderId="11" xfId="0" applyFont="1" applyFill="1" applyBorder="1" applyAlignment="1">
      <alignment horizontal="left"/>
    </xf>
    <xf numFmtId="0" fontId="0" fillId="9" borderId="12" xfId="0" applyFont="1" applyFill="1" applyBorder="1" applyAlignment="1">
      <alignment horizontal="left"/>
    </xf>
    <xf numFmtId="0" fontId="0" fillId="9" borderId="13" xfId="0" applyFont="1" applyFill="1" applyBorder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/>
    </xf>
    <xf numFmtId="0" fontId="0" fillId="10" borderId="3" xfId="0" applyFont="1" applyFill="1" applyBorder="1"/>
    <xf numFmtId="164" fontId="4" fillId="10" borderId="12" xfId="0" applyNumberFormat="1" applyFont="1" applyFill="1" applyBorder="1"/>
    <xf numFmtId="0" fontId="3" fillId="10" borderId="13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/>
    <xf numFmtId="0" fontId="3" fillId="0" borderId="0" xfId="0" applyFont="1" applyAlignment="1">
      <alignment wrapText="1"/>
    </xf>
    <xf numFmtId="0" fontId="3" fillId="0" borderId="20" xfId="0" applyFont="1" applyBorder="1"/>
    <xf numFmtId="0" fontId="3" fillId="0" borderId="22" xfId="0" applyFont="1" applyBorder="1" applyAlignment="1">
      <alignment wrapText="1"/>
    </xf>
    <xf numFmtId="0" fontId="3" fillId="0" borderId="23" xfId="0" applyFont="1" applyBorder="1"/>
    <xf numFmtId="0" fontId="3" fillId="0" borderId="16" xfId="0" applyFont="1" applyBorder="1" applyAlignment="1">
      <alignment horizontal="center" vertical="center" textRotation="90"/>
    </xf>
    <xf numFmtId="0" fontId="5" fillId="0" borderId="19" xfId="0" applyFont="1" applyBorder="1"/>
    <xf numFmtId="0" fontId="5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customschemas.google.com/relationships/workbookmetadata" Target="metadata" /><Relationship Id="rId10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9"/>
  <sheetViews>
    <sheetView tabSelected="1" workbookViewId="0"/>
  </sheetViews>
  <sheetFormatPr defaultColWidth="12.625" defaultRowHeight="15" customHeight="1" x14ac:dyDescent="0.15"/>
  <cols>
    <col min="1" max="1" width="18.75390625" customWidth="1"/>
    <col min="2" max="2" width="13.23828125" customWidth="1"/>
    <col min="3" max="3" width="65.5859375" customWidth="1"/>
    <col min="4" max="4" width="14.09765625" customWidth="1"/>
    <col min="5" max="5" width="25.12890625" customWidth="1"/>
    <col min="6" max="6" width="10.05078125" customWidth="1"/>
    <col min="7" max="7" width="21.8203125" customWidth="1"/>
    <col min="8" max="8" width="10.296875" customWidth="1"/>
    <col min="9" max="10" width="16.546875" customWidth="1"/>
    <col min="11" max="11" width="17.40625" customWidth="1"/>
    <col min="12" max="12" width="28.44140625" customWidth="1"/>
    <col min="13" max="13" width="19.734375" customWidth="1"/>
    <col min="14" max="26" width="10.05078125" customWidth="1"/>
  </cols>
  <sheetData>
    <row r="1" spans="1:13" ht="20.25" x14ac:dyDescent="0.25">
      <c r="C1" s="1" t="s">
        <v>0</v>
      </c>
    </row>
    <row r="2" spans="1:13" x14ac:dyDescent="0.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x14ac:dyDescent="0.2">
      <c r="C3" s="2" t="s">
        <v>7</v>
      </c>
      <c r="G3" s="6" t="s">
        <v>8</v>
      </c>
      <c r="H3" s="7">
        <f>+B33</f>
        <v>46.439977456321621</v>
      </c>
      <c r="I3" s="8">
        <v>30</v>
      </c>
      <c r="J3" s="9">
        <f>120</f>
        <v>120</v>
      </c>
      <c r="K3" s="9">
        <f>30*3</f>
        <v>90</v>
      </c>
      <c r="L3" s="10" t="s">
        <v>9</v>
      </c>
    </row>
    <row r="4" spans="1:13" x14ac:dyDescent="0.2">
      <c r="G4" s="11" t="s">
        <v>10</v>
      </c>
      <c r="H4" s="12">
        <f t="shared" ref="H4:K4" si="0">+H3/$B$7</f>
        <v>2.9024985910201013</v>
      </c>
      <c r="I4" s="12">
        <f t="shared" si="0"/>
        <v>1.875</v>
      </c>
      <c r="J4" s="12">
        <f t="shared" si="0"/>
        <v>7.5</v>
      </c>
      <c r="K4" s="13">
        <f t="shared" si="0"/>
        <v>5.625</v>
      </c>
    </row>
    <row r="5" spans="1:13" x14ac:dyDescent="0.2">
      <c r="G5" s="11" t="s">
        <v>11</v>
      </c>
      <c r="H5" s="12">
        <f t="shared" ref="H5:K5" si="1">+H4/$B$6</f>
        <v>0.17073521123647656</v>
      </c>
      <c r="I5" s="12">
        <f t="shared" si="1"/>
        <v>0.11029411764705882</v>
      </c>
      <c r="J5" s="12">
        <f t="shared" si="1"/>
        <v>0.44117647058823528</v>
      </c>
      <c r="K5" s="13">
        <f t="shared" si="1"/>
        <v>0.33088235294117646</v>
      </c>
    </row>
    <row r="6" spans="1:13" x14ac:dyDescent="0.2">
      <c r="A6" s="14" t="s">
        <v>12</v>
      </c>
      <c r="B6" s="15">
        <v>17</v>
      </c>
      <c r="C6" s="16" t="s">
        <v>13</v>
      </c>
      <c r="D6" s="17"/>
      <c r="G6" s="6" t="s">
        <v>14</v>
      </c>
      <c r="H6" s="18">
        <f t="shared" ref="H6:K6" si="2">+$B$29*H3</f>
        <v>12538.793913206839</v>
      </c>
      <c r="I6" s="18">
        <f t="shared" si="2"/>
        <v>8100</v>
      </c>
      <c r="J6" s="18">
        <f t="shared" si="2"/>
        <v>32400</v>
      </c>
      <c r="K6" s="19">
        <f t="shared" si="2"/>
        <v>24300</v>
      </c>
    </row>
    <row r="7" spans="1:13" x14ac:dyDescent="0.2">
      <c r="A7" s="20"/>
      <c r="B7" s="21">
        <v>16</v>
      </c>
      <c r="C7" s="22" t="s">
        <v>15</v>
      </c>
      <c r="D7" s="23"/>
      <c r="G7" s="6" t="s">
        <v>12</v>
      </c>
      <c r="H7" s="18">
        <f t="shared" ref="H7:K7" si="3">+$B$16</f>
        <v>8240</v>
      </c>
      <c r="I7" s="18">
        <f t="shared" si="3"/>
        <v>8240</v>
      </c>
      <c r="J7" s="18">
        <f t="shared" si="3"/>
        <v>8240</v>
      </c>
      <c r="K7" s="19">
        <f t="shared" si="3"/>
        <v>8240</v>
      </c>
    </row>
    <row r="8" spans="1:13" x14ac:dyDescent="0.2">
      <c r="A8" s="20"/>
      <c r="B8" s="24">
        <f>1*D8*B7*2</f>
        <v>1120</v>
      </c>
      <c r="C8" s="22" t="s">
        <v>16</v>
      </c>
      <c r="D8" s="25">
        <v>35</v>
      </c>
      <c r="G8" s="6" t="s">
        <v>17</v>
      </c>
      <c r="H8" s="18">
        <f t="shared" ref="H8:K8" si="4">+$B$27*H3</f>
        <v>4298.7939132068386</v>
      </c>
      <c r="I8" s="18">
        <f t="shared" si="4"/>
        <v>2777.0000000000005</v>
      </c>
      <c r="J8" s="18">
        <f t="shared" si="4"/>
        <v>11108.000000000002</v>
      </c>
      <c r="K8" s="19">
        <f t="shared" si="4"/>
        <v>8331.0000000000018</v>
      </c>
    </row>
    <row r="9" spans="1:13" x14ac:dyDescent="0.2">
      <c r="A9" s="20"/>
      <c r="B9" s="24">
        <f>4*D9*B7</f>
        <v>1920</v>
      </c>
      <c r="C9" s="22" t="s">
        <v>18</v>
      </c>
      <c r="D9" s="25">
        <v>30</v>
      </c>
      <c r="G9" s="6" t="s">
        <v>19</v>
      </c>
      <c r="H9" s="18">
        <f t="shared" ref="H9:K9" si="5">+H8+H7</f>
        <v>12538.793913206839</v>
      </c>
      <c r="I9" s="18">
        <f t="shared" si="5"/>
        <v>11017</v>
      </c>
      <c r="J9" s="18">
        <f t="shared" si="5"/>
        <v>19348</v>
      </c>
      <c r="K9" s="19">
        <f t="shared" si="5"/>
        <v>16571</v>
      </c>
    </row>
    <row r="10" spans="1:13" x14ac:dyDescent="0.2">
      <c r="A10" s="20"/>
      <c r="B10" s="24">
        <f>(+B6-6)*D10*B7</f>
        <v>4400</v>
      </c>
      <c r="C10" s="22" t="s">
        <v>20</v>
      </c>
      <c r="D10" s="25">
        <v>25</v>
      </c>
      <c r="G10" s="6" t="s">
        <v>21</v>
      </c>
      <c r="H10" s="18">
        <f t="shared" ref="H10:K10" si="6">+H6-H9</f>
        <v>0</v>
      </c>
      <c r="I10" s="18">
        <f t="shared" si="6"/>
        <v>-2917</v>
      </c>
      <c r="J10" s="18">
        <f t="shared" si="6"/>
        <v>13052</v>
      </c>
      <c r="K10" s="19">
        <f t="shared" si="6"/>
        <v>7729</v>
      </c>
    </row>
    <row r="11" spans="1:13" x14ac:dyDescent="0.2">
      <c r="A11" s="20"/>
      <c r="B11" s="24">
        <f>+SUM(B8:B10)</f>
        <v>7440</v>
      </c>
      <c r="C11" s="22" t="s">
        <v>22</v>
      </c>
      <c r="D11" s="23"/>
      <c r="G11" s="6" t="s">
        <v>23</v>
      </c>
      <c r="H11" s="26">
        <f t="shared" ref="H11:K11" si="7">+IF(H10&gt;0,H10*0.05,0)</f>
        <v>0</v>
      </c>
      <c r="I11" s="26">
        <f t="shared" si="7"/>
        <v>0</v>
      </c>
      <c r="J11" s="26">
        <f t="shared" si="7"/>
        <v>652.6</v>
      </c>
      <c r="K11" s="27">
        <f t="shared" si="7"/>
        <v>386.45000000000005</v>
      </c>
    </row>
    <row r="12" spans="1:13" x14ac:dyDescent="0.2">
      <c r="A12" s="20"/>
      <c r="B12" s="28"/>
      <c r="C12" s="22" t="s">
        <v>24</v>
      </c>
      <c r="D12" s="23"/>
      <c r="G12" s="6" t="s">
        <v>25</v>
      </c>
      <c r="H12" s="18">
        <f t="shared" ref="H12:K12" si="8">+H10-H11</f>
        <v>0</v>
      </c>
      <c r="I12" s="18">
        <f t="shared" si="8"/>
        <v>-2917</v>
      </c>
      <c r="J12" s="18">
        <f t="shared" si="8"/>
        <v>12399.4</v>
      </c>
      <c r="K12" s="19">
        <f t="shared" si="8"/>
        <v>7342.55</v>
      </c>
    </row>
    <row r="13" spans="1:13" x14ac:dyDescent="0.2">
      <c r="A13" s="20"/>
      <c r="B13" s="29">
        <v>0</v>
      </c>
      <c r="C13" s="22" t="s">
        <v>26</v>
      </c>
      <c r="D13" s="23"/>
      <c r="G13" s="6" t="s">
        <v>27</v>
      </c>
      <c r="H13" s="18">
        <f t="shared" ref="H13:K13" si="9">+H12/($H$18+$H$19)+$H$23</f>
        <v>184.39402813539468</v>
      </c>
      <c r="I13" s="18">
        <f t="shared" si="9"/>
        <v>141.49696931186526</v>
      </c>
      <c r="J13" s="18">
        <f t="shared" si="9"/>
        <v>366.7381457824535</v>
      </c>
      <c r="K13" s="19">
        <f t="shared" si="9"/>
        <v>292.3727046059829</v>
      </c>
    </row>
    <row r="14" spans="1:13" x14ac:dyDescent="0.2">
      <c r="A14" s="20"/>
      <c r="B14" s="29">
        <v>0</v>
      </c>
      <c r="C14" s="22" t="s">
        <v>28</v>
      </c>
      <c r="D14" s="23"/>
      <c r="G14" s="6" t="s">
        <v>29</v>
      </c>
      <c r="H14" s="30">
        <f t="shared" ref="H14:K14" si="10">(H13/$H$23)-1</f>
        <v>0</v>
      </c>
      <c r="I14" s="30">
        <f t="shared" si="10"/>
        <v>-0.23263800491429942</v>
      </c>
      <c r="J14" s="30">
        <f t="shared" si="10"/>
        <v>0.98888298873306968</v>
      </c>
      <c r="K14" s="31">
        <f t="shared" si="10"/>
        <v>0.58558662426585162</v>
      </c>
      <c r="L14" s="32"/>
    </row>
    <row r="15" spans="1:13" x14ac:dyDescent="0.2">
      <c r="A15" s="20"/>
      <c r="B15" s="33">
        <v>800</v>
      </c>
      <c r="C15" s="22" t="s">
        <v>30</v>
      </c>
      <c r="D15" s="23"/>
      <c r="J15" s="34"/>
      <c r="K15" s="34"/>
    </row>
    <row r="16" spans="1:13" x14ac:dyDescent="0.2">
      <c r="A16" s="35"/>
      <c r="B16" s="36">
        <f>+SUM(B11:B15)</f>
        <v>8240</v>
      </c>
      <c r="C16" s="37" t="s">
        <v>31</v>
      </c>
      <c r="D16" s="38"/>
      <c r="G16" s="34" t="s">
        <v>32</v>
      </c>
      <c r="J16" s="32"/>
      <c r="K16" s="39"/>
      <c r="L16" s="32"/>
      <c r="M16" s="32"/>
    </row>
    <row r="17" spans="1:8" x14ac:dyDescent="0.2">
      <c r="G17" s="40" t="s">
        <v>33</v>
      </c>
      <c r="H17" s="41">
        <f>+H3</f>
        <v>46.439977456321621</v>
      </c>
    </row>
    <row r="18" spans="1:8" x14ac:dyDescent="0.2">
      <c r="D18" s="34" t="s">
        <v>34</v>
      </c>
      <c r="E18" s="34" t="s">
        <v>35</v>
      </c>
      <c r="G18" s="40" t="s">
        <v>36</v>
      </c>
      <c r="H18" s="26">
        <f>+$B$6</f>
        <v>17</v>
      </c>
    </row>
    <row r="19" spans="1:8" x14ac:dyDescent="0.2">
      <c r="A19" s="42" t="s">
        <v>37</v>
      </c>
      <c r="B19" s="43">
        <f t="shared" ref="B19:B21" si="11">IF(D19&gt;0.001,D19*E19,0)</f>
        <v>28.6</v>
      </c>
      <c r="C19" s="44" t="s">
        <v>38</v>
      </c>
      <c r="D19" s="45">
        <v>220</v>
      </c>
      <c r="E19" s="46">
        <v>0.13</v>
      </c>
      <c r="G19" s="40" t="s">
        <v>39</v>
      </c>
      <c r="H19" s="26">
        <f>+H18*3</f>
        <v>51</v>
      </c>
    </row>
    <row r="20" spans="1:8" x14ac:dyDescent="0.2">
      <c r="A20" s="47"/>
      <c r="B20" s="48">
        <f t="shared" si="11"/>
        <v>4.6000000000000005</v>
      </c>
      <c r="C20" s="49" t="s">
        <v>40</v>
      </c>
      <c r="D20" s="50">
        <v>46</v>
      </c>
      <c r="E20" s="51">
        <v>0.1</v>
      </c>
      <c r="G20" s="40" t="s">
        <v>41</v>
      </c>
      <c r="H20" s="18">
        <f>+H8</f>
        <v>4298.7939132068386</v>
      </c>
    </row>
    <row r="21" spans="1:8" ht="15.75" customHeight="1" x14ac:dyDescent="0.2">
      <c r="A21" s="47"/>
      <c r="B21" s="48">
        <f t="shared" si="11"/>
        <v>1.2</v>
      </c>
      <c r="C21" s="49" t="s">
        <v>42</v>
      </c>
      <c r="D21" s="50">
        <v>1.2</v>
      </c>
      <c r="E21" s="51">
        <v>1</v>
      </c>
      <c r="G21" s="40" t="s">
        <v>12</v>
      </c>
      <c r="H21" s="18">
        <f>+$B$16</f>
        <v>8240</v>
      </c>
    </row>
    <row r="22" spans="1:8" ht="15.75" customHeight="1" x14ac:dyDescent="0.2">
      <c r="A22" s="47"/>
      <c r="B22" s="48">
        <f>IF(D22&gt;0.001,D22*E22,0)*3</f>
        <v>27</v>
      </c>
      <c r="C22" s="49" t="s">
        <v>43</v>
      </c>
      <c r="D22" s="29">
        <f>180</f>
        <v>180</v>
      </c>
      <c r="E22" s="52">
        <v>0.05</v>
      </c>
      <c r="G22" s="40" t="s">
        <v>44</v>
      </c>
      <c r="H22" s="18">
        <f>+H21+H20</f>
        <v>12538.793913206839</v>
      </c>
    </row>
    <row r="23" spans="1:8" ht="15.75" customHeight="1" x14ac:dyDescent="0.2">
      <c r="A23" s="47"/>
      <c r="B23" s="48">
        <f>IF(D23&gt;0.001,D23*E23,0)</f>
        <v>4.166666666666667</v>
      </c>
      <c r="C23" s="49" t="s">
        <v>45</v>
      </c>
      <c r="D23" s="53">
        <f>50/12</f>
        <v>4.166666666666667</v>
      </c>
      <c r="E23" s="52">
        <v>1</v>
      </c>
      <c r="G23" s="40" t="s">
        <v>46</v>
      </c>
      <c r="H23" s="18">
        <f>+H22/(H19+H18)</f>
        <v>184.39402813539468</v>
      </c>
    </row>
    <row r="24" spans="1:8" ht="15.75" customHeight="1" x14ac:dyDescent="0.2">
      <c r="A24" s="47"/>
      <c r="B24" s="54">
        <v>0.1</v>
      </c>
      <c r="C24" s="49" t="s">
        <v>47</v>
      </c>
      <c r="D24" s="49"/>
      <c r="E24" s="55"/>
      <c r="G24" s="34" t="s">
        <v>48</v>
      </c>
    </row>
    <row r="25" spans="1:8" ht="15.75" customHeight="1" x14ac:dyDescent="0.2">
      <c r="A25" s="47"/>
      <c r="B25" s="54">
        <v>0</v>
      </c>
      <c r="C25" s="49" t="s">
        <v>49</v>
      </c>
      <c r="D25" s="49"/>
      <c r="E25" s="55"/>
      <c r="G25" s="34" t="s">
        <v>50</v>
      </c>
    </row>
    <row r="26" spans="1:8" ht="15.75" customHeight="1" x14ac:dyDescent="0.2">
      <c r="A26" s="47"/>
      <c r="B26" s="29">
        <v>0</v>
      </c>
      <c r="C26" s="49" t="s">
        <v>51</v>
      </c>
      <c r="D26" s="49"/>
      <c r="E26" s="55"/>
      <c r="G26" s="34" t="s">
        <v>52</v>
      </c>
    </row>
    <row r="27" spans="1:8" ht="15.75" customHeight="1" x14ac:dyDescent="0.2">
      <c r="A27" s="56"/>
      <c r="B27" s="57">
        <f>+B19+(B29*B24)+(B25*B29)+B26+B20+B21+B22+B23</f>
        <v>92.566666666666677</v>
      </c>
      <c r="C27" s="58" t="s">
        <v>37</v>
      </c>
      <c r="D27" s="59"/>
      <c r="E27" s="60"/>
      <c r="G27" s="34" t="s">
        <v>53</v>
      </c>
    </row>
    <row r="28" spans="1:8" ht="15.75" customHeight="1" x14ac:dyDescent="0.2">
      <c r="B28" s="61"/>
      <c r="C28" s="61"/>
      <c r="G28" s="34" t="s">
        <v>54</v>
      </c>
    </row>
    <row r="29" spans="1:8" ht="15.75" customHeight="1" x14ac:dyDescent="0.15">
      <c r="A29" s="62" t="s">
        <v>55</v>
      </c>
      <c r="B29" s="63">
        <v>270</v>
      </c>
      <c r="C29" s="64" t="s">
        <v>56</v>
      </c>
      <c r="D29" s="65"/>
      <c r="E29" s="66"/>
    </row>
    <row r="30" spans="1:8" ht="15.75" customHeight="1" x14ac:dyDescent="0.15">
      <c r="A30" s="67"/>
      <c r="B30" s="68"/>
      <c r="E30" s="69"/>
    </row>
    <row r="31" spans="1:8" ht="15.75" customHeight="1" x14ac:dyDescent="0.2">
      <c r="A31" s="70" t="s">
        <v>57</v>
      </c>
      <c r="B31" s="71">
        <f>+B16</f>
        <v>8240</v>
      </c>
      <c r="C31" s="72" t="s">
        <v>12</v>
      </c>
    </row>
    <row r="32" spans="1:8" ht="15.75" customHeight="1" x14ac:dyDescent="0.2">
      <c r="A32" s="73" t="s">
        <v>58</v>
      </c>
      <c r="B32" s="74">
        <f>+B29-B27</f>
        <v>177.43333333333334</v>
      </c>
      <c r="C32" s="75" t="s">
        <v>59</v>
      </c>
      <c r="E32" s="61"/>
    </row>
    <row r="33" spans="1:5" ht="15.75" customHeight="1" x14ac:dyDescent="0.2">
      <c r="A33" s="76"/>
      <c r="B33" s="77">
        <f>+B31/B32</f>
        <v>46.439977456321621</v>
      </c>
      <c r="C33" s="78" t="s">
        <v>60</v>
      </c>
      <c r="E33" s="61"/>
    </row>
    <row r="34" spans="1:5" ht="15.75" customHeight="1" x14ac:dyDescent="0.2">
      <c r="E34" s="61"/>
    </row>
    <row r="35" spans="1:5" ht="15.75" customHeight="1" x14ac:dyDescent="0.2">
      <c r="A35" s="34" t="s">
        <v>61</v>
      </c>
    </row>
    <row r="36" spans="1:5" ht="15.75" customHeight="1" x14ac:dyDescent="0.2">
      <c r="A36" s="34" t="s">
        <v>62</v>
      </c>
    </row>
    <row r="37" spans="1:5" ht="15.75" customHeight="1" x14ac:dyDescent="0.2">
      <c r="A37" s="34" t="s">
        <v>63</v>
      </c>
    </row>
    <row r="38" spans="1:5" ht="15.75" customHeight="1" x14ac:dyDescent="0.15"/>
    <row r="39" spans="1:5" ht="15.75" customHeight="1" x14ac:dyDescent="0.2">
      <c r="A39" s="34" t="s">
        <v>64</v>
      </c>
    </row>
    <row r="40" spans="1:5" ht="15.75" customHeight="1" x14ac:dyDescent="0.15"/>
    <row r="41" spans="1:5" ht="15.75" customHeight="1" x14ac:dyDescent="0.15"/>
    <row r="42" spans="1:5" ht="15.75" customHeight="1" x14ac:dyDescent="0.15"/>
    <row r="43" spans="1:5" ht="15.75" customHeight="1" x14ac:dyDescent="0.15"/>
    <row r="44" spans="1:5" ht="15.75" customHeight="1" x14ac:dyDescent="0.15"/>
    <row r="45" spans="1:5" ht="15.75" customHeight="1" x14ac:dyDescent="0.15"/>
    <row r="46" spans="1:5" ht="15.75" customHeight="1" x14ac:dyDescent="0.15"/>
    <row r="47" spans="1:5" ht="15.75" customHeight="1" x14ac:dyDescent="0.15"/>
    <row r="48" spans="1:5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 x14ac:dyDescent="0.15"/>
  <cols>
    <col min="1" max="1" width="10.05078125" customWidth="1"/>
    <col min="2" max="2" width="15.69140625" customWidth="1"/>
    <col min="3" max="3" width="107.7578125" customWidth="1"/>
    <col min="4" max="26" width="10.05078125" customWidth="1"/>
  </cols>
  <sheetData>
    <row r="1" spans="1:3" x14ac:dyDescent="0.2">
      <c r="A1" s="79"/>
      <c r="B1" s="80" t="s">
        <v>65</v>
      </c>
      <c r="C1" s="81" t="s">
        <v>66</v>
      </c>
    </row>
    <row r="2" spans="1:3" ht="41.25" x14ac:dyDescent="0.2">
      <c r="A2" s="88" t="s">
        <v>67</v>
      </c>
      <c r="B2" s="82" t="s">
        <v>68</v>
      </c>
      <c r="C2" s="83"/>
    </row>
    <row r="3" spans="1:3" ht="41.25" x14ac:dyDescent="0.2">
      <c r="A3" s="89"/>
      <c r="B3" s="84" t="s">
        <v>69</v>
      </c>
      <c r="C3" s="85"/>
    </row>
    <row r="4" spans="1:3" ht="68.25" x14ac:dyDescent="0.2">
      <c r="A4" s="90"/>
      <c r="B4" s="86" t="s">
        <v>70</v>
      </c>
      <c r="C4" s="87"/>
    </row>
    <row r="5" spans="1:3" ht="27.75" x14ac:dyDescent="0.2">
      <c r="A5" s="88" t="s">
        <v>32</v>
      </c>
      <c r="B5" s="82" t="s">
        <v>71</v>
      </c>
      <c r="C5" s="83"/>
    </row>
    <row r="6" spans="1:3" ht="41.25" x14ac:dyDescent="0.2">
      <c r="A6" s="89"/>
      <c r="B6" s="84" t="s">
        <v>72</v>
      </c>
      <c r="C6" s="85"/>
    </row>
    <row r="7" spans="1:3" ht="54.75" x14ac:dyDescent="0.2">
      <c r="A7" s="90"/>
      <c r="B7" s="86" t="s">
        <v>73</v>
      </c>
      <c r="C7" s="87"/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terms:created xsi:type="dcterms:W3CDTF">2021-01-12T19:33:14Z</dcterms:created>
</cp:coreProperties>
</file>