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70" yWindow="615" windowWidth="28215" windowHeight="13995"/>
  </bookViews>
  <sheets>
    <sheet name="Cálculo Tipo Plantín" sheetId="1" r:id="rId1"/>
    <sheet name="Justificación Plantín" sheetId="2" r:id="rId2"/>
  </sheets>
  <calcPr calcId="145621"/>
  <extLst>
    <ext uri="GoogleSheetsCustomDataVersion1">
      <go:sheetsCustomData xmlns:go="http://customooxmlschemas.google.com/" r:id="rId8" roundtripDataSignature="AMtx7mhen3AsDMsURblX7oTeZ14ktbJotQ=="/>
    </ext>
  </extLst>
</workbook>
</file>

<file path=xl/calcChain.xml><?xml version="1.0" encoding="utf-8"?>
<calcChain xmlns="http://schemas.openxmlformats.org/spreadsheetml/2006/main">
  <c r="B35" i="1" l="1"/>
  <c r="B34" i="1"/>
  <c r="B29" i="1"/>
  <c r="B10" i="1"/>
  <c r="B11" i="1"/>
  <c r="B25" i="1" l="1"/>
  <c r="B24" i="1"/>
  <c r="B23" i="1"/>
  <c r="B22" i="1"/>
  <c r="B21" i="1"/>
  <c r="B20" i="1"/>
  <c r="B19" i="1"/>
  <c r="H18" i="1"/>
  <c r="B9" i="1"/>
  <c r="B8" i="1"/>
  <c r="K6" i="1"/>
  <c r="J6" i="1"/>
  <c r="I6" i="1"/>
  <c r="K4" i="1"/>
  <c r="K5" i="1" s="1"/>
  <c r="J4" i="1"/>
  <c r="J5" i="1" s="1"/>
  <c r="I4" i="1"/>
  <c r="I5" i="1" s="1"/>
  <c r="B16" i="1" l="1"/>
  <c r="I8" i="1" l="1"/>
  <c r="I9" i="1" s="1"/>
  <c r="I10" i="1" s="1"/>
  <c r="I11" i="1" s="1"/>
  <c r="I12" i="1" s="1"/>
  <c r="I7" i="1"/>
  <c r="B33" i="1"/>
  <c r="H3" i="1" s="1"/>
  <c r="J8" i="1"/>
  <c r="K8" i="1"/>
  <c r="H21" i="1"/>
  <c r="J7" i="1"/>
  <c r="H7" i="1"/>
  <c r="K7" i="1"/>
  <c r="J9" i="1" l="1"/>
  <c r="J10" i="1" s="1"/>
  <c r="J11" i="1" s="1"/>
  <c r="J12" i="1" s="1"/>
  <c r="K9" i="1"/>
  <c r="K10" i="1" s="1"/>
  <c r="K11" i="1" s="1"/>
  <c r="K12" i="1" s="1"/>
  <c r="H17" i="1"/>
  <c r="H4" i="1"/>
  <c r="H5" i="1" s="1"/>
  <c r="H6" i="1"/>
  <c r="H8" i="1"/>
  <c r="H20" i="1" s="1"/>
  <c r="H22" i="1" l="1"/>
  <c r="H23" i="1" s="1"/>
  <c r="I13" i="1" s="1"/>
  <c r="I14" i="1" s="1"/>
  <c r="H9" i="1"/>
  <c r="H10" i="1" s="1"/>
  <c r="H11" i="1" s="1"/>
  <c r="H12" i="1" s="1"/>
  <c r="J13" i="1" l="1"/>
  <c r="J14" i="1" s="1"/>
  <c r="H13" i="1"/>
  <c r="H14" i="1" s="1"/>
  <c r="K13" i="1"/>
  <c r="K14" i="1" s="1"/>
</calcChain>
</file>

<file path=xl/sharedStrings.xml><?xml version="1.0" encoding="utf-8"?>
<sst xmlns="http://schemas.openxmlformats.org/spreadsheetml/2006/main" count="87" uniqueCount="82">
  <si>
    <t>Proyección Financiera</t>
  </si>
  <si>
    <t>Las celdas en rojo no se editan ya que se calculan automáticamente</t>
  </si>
  <si>
    <t>Escenarios:</t>
  </si>
  <si>
    <t>Escenario PE</t>
  </si>
  <si>
    <t>Escenario Pesimista</t>
  </si>
  <si>
    <t>Escenario Optimista</t>
  </si>
  <si>
    <t>Escenario Proyectado</t>
  </si>
  <si>
    <t>Las celdas pintadas en verde son las que debés completar</t>
  </si>
  <si>
    <t>Unidades Objetivo</t>
  </si>
  <si>
    <t>Poner Q unidades de los escenarios</t>
  </si>
  <si>
    <t>Unidades/Módulo</t>
  </si>
  <si>
    <t>Unidades/Módulo/Persona</t>
  </si>
  <si>
    <t>Costos Fijos</t>
  </si>
  <si>
    <t>Estudiantes Totales</t>
  </si>
  <si>
    <t>Ingresos</t>
  </si>
  <si>
    <t>Módulos</t>
  </si>
  <si>
    <t>Sueldo Director General</t>
  </si>
  <si>
    <t>Costos Variables</t>
  </si>
  <si>
    <t>Sueldos Directores</t>
  </si>
  <si>
    <t>Costos Totales</t>
  </si>
  <si>
    <t>Salarios</t>
  </si>
  <si>
    <t>Ganancia antes de Impuestos</t>
  </si>
  <si>
    <t>Total Sueldos y Salarios</t>
  </si>
  <si>
    <t>Impuestos</t>
  </si>
  <si>
    <t>Stand ferias / Publicidad</t>
  </si>
  <si>
    <t>Resultado Proyectado</t>
  </si>
  <si>
    <t>Movilidad eventos extra áulicos del programa</t>
  </si>
  <si>
    <t>Valor de Acción Proyectada</t>
  </si>
  <si>
    <t>Herramientas</t>
  </si>
  <si>
    <t>Rentabilidad Proyectada</t>
  </si>
  <si>
    <t>Otros (impresiones, premios, etc.)</t>
  </si>
  <si>
    <t>Total Costos Fijos</t>
  </si>
  <si>
    <t>Capitalización:</t>
  </si>
  <si>
    <t>Objetivo = PE</t>
  </si>
  <si>
    <t>$ costo unitario</t>
  </si>
  <si>
    <t>Q a usar del insumo por producto</t>
  </si>
  <si>
    <t>Acciones Internas</t>
  </si>
  <si>
    <t>Costo Variable Unitario</t>
  </si>
  <si>
    <t>Insumo 1: Plantín (costos de este insumo por unidad producida)</t>
  </si>
  <si>
    <t>Acciones Externas</t>
  </si>
  <si>
    <t>Insumo 2: Vaso Polipalel 180 cc (costos de este insumo por unidad producida)</t>
  </si>
  <si>
    <t>Costos Variables (al PE)</t>
  </si>
  <si>
    <t>Insumo 3: Palitos Brochet (costos de este insumo por unidad producida)</t>
  </si>
  <si>
    <t>Total Capital Inicial (PE)</t>
  </si>
  <si>
    <t>Valor de Acción</t>
  </si>
  <si>
    <t>Supuestos de este cálculo de desarrollo de capital inicial:</t>
  </si>
  <si>
    <t>cantidad de acciones emitidas = el doble que la cantidad de miembros de tu emprendimiento</t>
  </si>
  <si>
    <t>capital inicial = para cubrir el total de tus costos fijos + los costos variables hasta alcanzar PE (para después reinvertir para seguir produciendo)</t>
  </si>
  <si>
    <t>Comisión por venta</t>
  </si>
  <si>
    <t>*si querés, podés modificar cualquiera de estos supuestos</t>
  </si>
  <si>
    <t>Costos asociados a la cobranza de venta unitaria (Mercado Pago, Posnet, Tarjetas, etc.)</t>
  </si>
  <si>
    <t>**ver también el cálculo que se desprende en el SGME como sugerencia de valor de acción</t>
  </si>
  <si>
    <t>Costos asociados a distribución y entrega unitaria</t>
  </si>
  <si>
    <t>Precio</t>
  </si>
  <si>
    <t>No puede ser menor al costo variable unitario, debe contemplar margen para costos fijos + % de ganancia + riesgos</t>
  </si>
  <si>
    <t>Punto de Equilibrio</t>
  </si>
  <si>
    <t>(Qe)</t>
  </si>
  <si>
    <t>Contribución Marginal Unitaria (Precio - CVU)</t>
  </si>
  <si>
    <t>Unidades (CF/CMU)</t>
  </si>
  <si>
    <t>Qe = cantidades en las mis Costos Totales son Iguales a mis Ingresos</t>
  </si>
  <si>
    <t>Por debajo de las Qe estaremos en zona de Pérdidas</t>
  </si>
  <si>
    <t xml:space="preserve">Por encima de las Qe estaremos en zona de Ganacias </t>
  </si>
  <si>
    <t>Si entendés que los márgenes de ganancias, los escenarios de producción y/o ventas no son los deseados, podés subir el precio, bajar los costos o aumentar tu objetivo de ventas</t>
  </si>
  <si>
    <t>Preguntas</t>
  </si>
  <si>
    <t>Respuestas</t>
  </si>
  <si>
    <t>Escenario objetivo:</t>
  </si>
  <si>
    <t>1- ¿Por qué elegiste ese objetivo de ventas/producción?</t>
  </si>
  <si>
    <t>Elegí ese objetivo de ventas/producción porque nos parece más aceptable si en producción están la mayor parte de los integrantes, poder poner una cantidad un poco más elevada y así permitir que haya la mayor cantidad de ganancias posibles. Si algunos integrantes de producción no hacen los plantines y no hay apoyo por parte de recursos humanos, tal vez tendremos un escenario negativo.</t>
  </si>
  <si>
    <t>2- ¿Cómo vas a hacer para alcanzar esas ventas?</t>
  </si>
  <si>
    <t>Vamos a crear una página en Instagram del emprendimiento y lo promocionaremos para que éste llegue a la máxima cantidad de personas posibles de la localidad. El gerente de Redes Sociales y marketing va a tener una importancia en este sector.</t>
  </si>
  <si>
    <t>3- ¿Cómo vas a hacer para producir esa cantidad en el tiempo determinado?</t>
  </si>
  <si>
    <t>Vamos a implementar una cantidad mínima a producir por semana para su venta, es decir, cada uno hará una cantidad y venderá éstas. Todavía estamos viendo si juntarnos a producir algunos productos y que se haga todo en una casa. Nos parece razonable que las unidades den 36 ya que los integrantes que no pidieron estar en un puesto, en el Organigrama,  quedarán como colaboradores. Por eso, siendo muchos, creemos que con esa cantidad vamos a producir bastante.</t>
  </si>
  <si>
    <t>1- ¿Por qué elegiste ese capital incial?</t>
  </si>
  <si>
    <t>2- ¿Por qué elegiste vender esa cantidad de acciones?</t>
  </si>
  <si>
    <t>3- ¿En qué módulo/s del programa van a reinvertir y por qué?</t>
  </si>
  <si>
    <t>Tal vez reinvertamos cuando se vendan todos nuestros productos, para tener stock y así, vender más. Tal vez, podamos agregarles accesorios a nuestro producto, o elaborar otro tipo de producto que se ajuste a las expectativas de nuestros clientes. Para eso, necesitaremos un constante apoyo del departamento de Marketing y específicamente del área de Investigación del mercado.</t>
  </si>
  <si>
    <t>Insumo 4: Papel madera 6 x 6 cm (costos de este insumo por unidad producida)</t>
  </si>
  <si>
    <t>Insumo 6: Pegamento Unipox 25 ml (costos de este insumo por unidad producida)</t>
  </si>
  <si>
    <t>Insumo 5: Hilo Yute 100 mts (costos de este insumo por unidad producida)</t>
  </si>
  <si>
    <t>Insumo 7: Cartulina (costos de este insumo por unidad producida)</t>
  </si>
  <si>
    <t>Elegí $23.624 para contemplar los costos variables, de $9.784, y los costos fijos, de $13.840.</t>
  </si>
  <si>
    <t>Porque queremos tener un valor de acción de $369 para no producir una subcapitalización o sobrecapitalización.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</si>
</sst>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_-;\-&quot;$&quot;* #,##0_-;_-&quot;$&quot;* &quot;-&quot;??_-;_-@"/>
    <numFmt numFmtId="165" formatCode="_-&quot;$&quot;* #,##0.00_-;\-&quot;$&quot;* #,##0.00_-;_-&quot;$&quot;* &quot;-&quot;??_-;_-@"/>
    <numFmt numFmtId="166" formatCode="0.00000000"/>
  </numFmts>
  <fonts count="11">
    <font>
      <sz val="11"/>
      <color theme="1"/>
      <name val="Arial"/>
    </font>
    <font>
      <b/>
      <sz val="16"/>
      <color theme="9"/>
      <name val="Helvetica Neue"/>
    </font>
    <font>
      <sz val="11"/>
      <color theme="9"/>
      <name val="Helvetica Neue"/>
    </font>
    <font>
      <sz val="11"/>
      <color theme="1"/>
      <name val="Calibri"/>
      <family val="2"/>
    </font>
    <font>
      <sz val="11"/>
      <color rgb="FFFF0000"/>
      <name val="Calibri"/>
      <family val="2"/>
    </font>
    <font>
      <sz val="11"/>
      <name val="Arial"/>
      <family val="2"/>
    </font>
    <font>
      <sz val="11"/>
      <color theme="1"/>
      <name val="Calibri"/>
      <family val="2"/>
    </font>
    <font>
      <sz val="11"/>
      <color theme="1"/>
      <name val="Arial"/>
      <family val="2"/>
    </font>
    <font>
      <sz val="11"/>
      <color rgb="FF000000"/>
      <name val="Arial"/>
      <family val="2"/>
    </font>
    <font>
      <sz val="11"/>
      <name val="Arial"/>
      <family val="2"/>
    </font>
    <font>
      <sz val="11"/>
      <color theme="1"/>
      <name val="Calibri"/>
      <family val="2"/>
      <scheme val="major"/>
    </font>
  </fonts>
  <fills count="11">
    <fill>
      <patternFill patternType="none"/>
    </fill>
    <fill>
      <patternFill patternType="gray125"/>
    </fill>
    <fill>
      <patternFill patternType="solid">
        <fgColor rgb="FF7F7F7F"/>
        <bgColor rgb="FF7F7F7F"/>
      </patternFill>
    </fill>
    <fill>
      <patternFill patternType="solid">
        <fgColor rgb="FFFFFF00"/>
        <bgColor rgb="FFFFFF00"/>
      </patternFill>
    </fill>
    <fill>
      <patternFill patternType="solid">
        <fgColor rgb="FF92D050"/>
        <bgColor rgb="FF92D050"/>
      </patternFill>
    </fill>
    <fill>
      <patternFill patternType="solid">
        <fgColor rgb="FFF2F2F2"/>
        <bgColor rgb="FFF2F2F2"/>
      </patternFill>
    </fill>
    <fill>
      <patternFill patternType="solid">
        <fgColor theme="9"/>
        <bgColor theme="9"/>
      </patternFill>
    </fill>
    <fill>
      <patternFill patternType="solid">
        <fgColor rgb="FF595959"/>
        <bgColor rgb="FF595959"/>
      </patternFill>
    </fill>
    <fill>
      <patternFill patternType="solid">
        <fgColor rgb="FFD8D8D8"/>
        <bgColor rgb="FFD8D8D8"/>
      </patternFill>
    </fill>
    <fill>
      <patternFill patternType="solid">
        <fgColor rgb="FFBFBFBF"/>
        <bgColor rgb="FFBFBFBF"/>
      </patternFill>
    </fill>
    <fill>
      <patternFill patternType="solid">
        <fgColor rgb="FFA5A5A5"/>
        <bgColor rgb="FFA5A5A5"/>
      </patternFill>
    </fill>
  </fills>
  <borders count="25">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91">
    <xf numFmtId="0" fontId="0" fillId="0" borderId="0" xfId="0" applyFont="1" applyAlignment="1"/>
    <xf numFmtId="0" fontId="1" fillId="0" borderId="0" xfId="0" applyFont="1" applyAlignment="1">
      <alignment horizontal="right"/>
    </xf>
    <xf numFmtId="0" fontId="2" fillId="0" borderId="0" xfId="0" applyFont="1" applyAlignment="1">
      <alignment horizontal="right"/>
    </xf>
    <xf numFmtId="0" fontId="3" fillId="2" borderId="1" xfId="0" applyFont="1" applyFill="1" applyBorder="1" applyAlignment="1">
      <alignment horizontal="left"/>
    </xf>
    <xf numFmtId="0" fontId="3" fillId="2" borderId="1" xfId="0" applyFont="1" applyFill="1" applyBorder="1" applyAlignment="1">
      <alignment horizontal="right"/>
    </xf>
    <xf numFmtId="0" fontId="3" fillId="3" borderId="1" xfId="0" applyFont="1" applyFill="1" applyBorder="1" applyAlignment="1">
      <alignment horizontal="right"/>
    </xf>
    <xf numFmtId="0" fontId="3" fillId="2" borderId="1" xfId="0" applyFont="1" applyFill="1" applyBorder="1"/>
    <xf numFmtId="1" fontId="4" fillId="2" borderId="1" xfId="0" applyNumberFormat="1" applyFont="1" applyFill="1" applyBorder="1"/>
    <xf numFmtId="1" fontId="5" fillId="4" borderId="1" xfId="0" applyNumberFormat="1" applyFont="1" applyFill="1" applyBorder="1" applyAlignment="1"/>
    <xf numFmtId="0" fontId="3" fillId="4" borderId="2" xfId="0" applyFont="1" applyFill="1" applyBorder="1"/>
    <xf numFmtId="2" fontId="3" fillId="2" borderId="1" xfId="0" applyNumberFormat="1" applyFont="1" applyFill="1" applyBorder="1"/>
    <xf numFmtId="2" fontId="4" fillId="0" borderId="1" xfId="0" applyNumberFormat="1" applyFont="1" applyBorder="1"/>
    <xf numFmtId="2" fontId="4" fillId="3" borderId="1" xfId="0" applyNumberFormat="1" applyFont="1" applyFill="1" applyBorder="1"/>
    <xf numFmtId="0" fontId="3" fillId="5" borderId="3" xfId="0" applyFont="1" applyFill="1" applyBorder="1"/>
    <xf numFmtId="0" fontId="3" fillId="6" borderId="4" xfId="0" applyFont="1" applyFill="1" applyBorder="1"/>
    <xf numFmtId="0" fontId="3" fillId="5" borderId="4" xfId="0" applyFont="1" applyFill="1" applyBorder="1"/>
    <xf numFmtId="0" fontId="3" fillId="5" borderId="5" xfId="0" applyFont="1" applyFill="1" applyBorder="1"/>
    <xf numFmtId="164" fontId="4" fillId="0" borderId="1" xfId="0" applyNumberFormat="1" applyFont="1" applyBorder="1"/>
    <xf numFmtId="164" fontId="4" fillId="3" borderId="1" xfId="0" applyNumberFormat="1" applyFont="1" applyFill="1" applyBorder="1"/>
    <xf numFmtId="0" fontId="3" fillId="5" borderId="6" xfId="0" applyFont="1" applyFill="1" applyBorder="1"/>
    <xf numFmtId="0" fontId="3" fillId="6" borderId="2" xfId="0" applyFont="1" applyFill="1" applyBorder="1"/>
    <xf numFmtId="0" fontId="3" fillId="5" borderId="2" xfId="0" applyFont="1" applyFill="1" applyBorder="1"/>
    <xf numFmtId="0" fontId="3" fillId="5" borderId="7" xfId="0" applyFont="1" applyFill="1" applyBorder="1"/>
    <xf numFmtId="164" fontId="4" fillId="5" borderId="2" xfId="0" applyNumberFormat="1" applyFont="1" applyFill="1" applyBorder="1"/>
    <xf numFmtId="165" fontId="3" fillId="6" borderId="7" xfId="0" applyNumberFormat="1" applyFont="1" applyFill="1" applyBorder="1"/>
    <xf numFmtId="0" fontId="4" fillId="0" borderId="1" xfId="0" applyFont="1" applyBorder="1"/>
    <xf numFmtId="0" fontId="4" fillId="3" borderId="1" xfId="0" applyFont="1" applyFill="1" applyBorder="1"/>
    <xf numFmtId="164" fontId="3" fillId="6" borderId="2" xfId="0" applyNumberFormat="1" applyFont="1" applyFill="1" applyBorder="1"/>
    <xf numFmtId="9" fontId="4" fillId="0" borderId="1" xfId="0" applyNumberFormat="1" applyFont="1" applyBorder="1"/>
    <xf numFmtId="9" fontId="4" fillId="3" borderId="1" xfId="0" applyNumberFormat="1" applyFont="1" applyFill="1" applyBorder="1"/>
    <xf numFmtId="9" fontId="3" fillId="0" borderId="0" xfId="0" applyNumberFormat="1" applyFont="1"/>
    <xf numFmtId="0" fontId="3" fillId="5" borderId="8" xfId="0" applyFont="1" applyFill="1" applyBorder="1"/>
    <xf numFmtId="164" fontId="4" fillId="5" borderId="9" xfId="0" applyNumberFormat="1" applyFont="1" applyFill="1" applyBorder="1"/>
    <xf numFmtId="0" fontId="3" fillId="5" borderId="9" xfId="0" applyFont="1" applyFill="1" applyBorder="1"/>
    <xf numFmtId="0" fontId="3" fillId="5" borderId="10" xfId="0" applyFont="1" applyFill="1" applyBorder="1"/>
    <xf numFmtId="0" fontId="6" fillId="0" borderId="0" xfId="0" applyFont="1"/>
    <xf numFmtId="0" fontId="3" fillId="7" borderId="1" xfId="0" applyFont="1" applyFill="1" applyBorder="1"/>
    <xf numFmtId="1" fontId="4" fillId="0" borderId="1" xfId="0" applyNumberFormat="1" applyFont="1" applyBorder="1"/>
    <xf numFmtId="0" fontId="3" fillId="8" borderId="3" xfId="0" applyFont="1" applyFill="1" applyBorder="1"/>
    <xf numFmtId="165" fontId="4" fillId="8" borderId="4" xfId="0" applyNumberFormat="1" applyFont="1" applyFill="1" applyBorder="1"/>
    <xf numFmtId="0" fontId="7" fillId="8" borderId="4" xfId="0" applyFont="1" applyFill="1" applyBorder="1"/>
    <xf numFmtId="165" fontId="3" fillId="6" borderId="4" xfId="0" applyNumberFormat="1" applyFont="1" applyFill="1" applyBorder="1"/>
    <xf numFmtId="2" fontId="3" fillId="6" borderId="5" xfId="0" applyNumberFormat="1" applyFont="1" applyFill="1" applyBorder="1" applyAlignment="1">
      <alignment horizontal="center"/>
    </xf>
    <xf numFmtId="0" fontId="3" fillId="8" borderId="6" xfId="0" applyFont="1" applyFill="1" applyBorder="1"/>
    <xf numFmtId="165" fontId="4" fillId="8" borderId="2" xfId="0" applyNumberFormat="1" applyFont="1" applyFill="1" applyBorder="1"/>
    <xf numFmtId="0" fontId="7" fillId="8" borderId="2" xfId="0" applyFont="1" applyFill="1" applyBorder="1"/>
    <xf numFmtId="165" fontId="3" fillId="6" borderId="2" xfId="0" applyNumberFormat="1" applyFont="1" applyFill="1" applyBorder="1"/>
    <xf numFmtId="2" fontId="3" fillId="6" borderId="7" xfId="0" applyNumberFormat="1" applyFont="1" applyFill="1" applyBorder="1" applyAlignment="1">
      <alignment horizontal="center"/>
    </xf>
    <xf numFmtId="0" fontId="8" fillId="8" borderId="2" xfId="0" applyFont="1" applyFill="1" applyBorder="1" applyAlignment="1"/>
    <xf numFmtId="9" fontId="3" fillId="6" borderId="2" xfId="0" applyNumberFormat="1" applyFont="1" applyFill="1" applyBorder="1"/>
    <xf numFmtId="0" fontId="3" fillId="8" borderId="2" xfId="0" applyFont="1" applyFill="1" applyBorder="1"/>
    <xf numFmtId="0" fontId="3" fillId="8" borderId="7" xfId="0" applyFont="1" applyFill="1" applyBorder="1"/>
    <xf numFmtId="0" fontId="3" fillId="8" borderId="8" xfId="0" applyFont="1" applyFill="1" applyBorder="1"/>
    <xf numFmtId="164" fontId="4" fillId="8" borderId="9" xfId="0" applyNumberFormat="1" applyFont="1" applyFill="1" applyBorder="1"/>
    <xf numFmtId="0" fontId="7" fillId="8" borderId="9" xfId="0" applyFont="1" applyFill="1" applyBorder="1" applyAlignment="1">
      <alignment horizontal="left"/>
    </xf>
    <xf numFmtId="0" fontId="3" fillId="8" borderId="9" xfId="0" applyFont="1" applyFill="1" applyBorder="1"/>
    <xf numFmtId="0" fontId="3" fillId="8" borderId="10" xfId="0" applyFont="1" applyFill="1" applyBorder="1"/>
    <xf numFmtId="0" fontId="3" fillId="9" borderId="11" xfId="0" applyFont="1" applyFill="1" applyBorder="1"/>
    <xf numFmtId="164" fontId="3" fillId="6" borderId="12" xfId="0" applyNumberFormat="1" applyFont="1" applyFill="1" applyBorder="1"/>
    <xf numFmtId="9" fontId="3" fillId="0" borderId="0" xfId="0" applyNumberFormat="1" applyFont="1" applyAlignment="1">
      <alignment horizontal="left"/>
    </xf>
    <xf numFmtId="0" fontId="3" fillId="10" borderId="3" xfId="0" applyFont="1" applyFill="1" applyBorder="1"/>
    <xf numFmtId="164" fontId="4" fillId="10" borderId="12" xfId="0" applyNumberFormat="1" applyFont="1" applyFill="1" applyBorder="1"/>
    <xf numFmtId="0" fontId="3" fillId="10" borderId="16" xfId="0" applyFont="1" applyFill="1" applyBorder="1" applyAlignment="1">
      <alignment horizontal="left"/>
    </xf>
    <xf numFmtId="0" fontId="3" fillId="10" borderId="6" xfId="0" applyFont="1" applyFill="1" applyBorder="1"/>
    <xf numFmtId="164" fontId="4" fillId="10" borderId="2" xfId="0" applyNumberFormat="1" applyFont="1" applyFill="1" applyBorder="1"/>
    <xf numFmtId="0" fontId="3" fillId="10" borderId="7" xfId="0" applyFont="1" applyFill="1" applyBorder="1" applyAlignment="1">
      <alignment horizontal="left"/>
    </xf>
    <xf numFmtId="0" fontId="3" fillId="10" borderId="8" xfId="0" applyFont="1" applyFill="1" applyBorder="1"/>
    <xf numFmtId="166" fontId="4" fillId="10" borderId="9" xfId="0" applyNumberFormat="1" applyFont="1" applyFill="1" applyBorder="1" applyAlignment="1">
      <alignment horizontal="right"/>
    </xf>
    <xf numFmtId="0" fontId="3" fillId="10" borderId="10" xfId="0" applyFont="1" applyFill="1" applyBorder="1"/>
    <xf numFmtId="164" fontId="3" fillId="0" borderId="0" xfId="0" applyNumberFormat="1" applyFont="1"/>
    <xf numFmtId="0" fontId="3" fillId="2" borderId="11" xfId="0" applyFont="1" applyFill="1" applyBorder="1"/>
    <xf numFmtId="0" fontId="3" fillId="0" borderId="14" xfId="0" applyFont="1" applyBorder="1"/>
    <xf numFmtId="0" fontId="3" fillId="0" borderId="15" xfId="0" applyFont="1" applyBorder="1"/>
    <xf numFmtId="0" fontId="3" fillId="0" borderId="18" xfId="0" applyFont="1" applyBorder="1" applyAlignment="1">
      <alignment wrapText="1"/>
    </xf>
    <xf numFmtId="0" fontId="3" fillId="0" borderId="19" xfId="0" applyFont="1" applyBorder="1" applyAlignment="1">
      <alignment horizontal="left" wrapText="1"/>
    </xf>
    <xf numFmtId="0" fontId="3" fillId="0" borderId="0" xfId="0" applyFont="1" applyAlignment="1">
      <alignment wrapText="1"/>
    </xf>
    <xf numFmtId="0" fontId="3" fillId="0" borderId="21" xfId="0" applyFont="1" applyBorder="1" applyAlignment="1">
      <alignment wrapText="1"/>
    </xf>
    <xf numFmtId="0" fontId="3" fillId="0" borderId="23" xfId="0" applyFont="1" applyBorder="1" applyAlignment="1">
      <alignment wrapText="1"/>
    </xf>
    <xf numFmtId="0" fontId="3" fillId="0" borderId="24" xfId="0" applyFont="1" applyBorder="1" applyAlignment="1">
      <alignment wrapText="1"/>
    </xf>
    <xf numFmtId="0" fontId="7" fillId="0" borderId="19" xfId="0" applyFont="1" applyBorder="1" applyAlignment="1"/>
    <xf numFmtId="0" fontId="7" fillId="0" borderId="21" xfId="0" applyFont="1" applyBorder="1" applyAlignment="1">
      <alignment wrapText="1"/>
    </xf>
    <xf numFmtId="0" fontId="3" fillId="9" borderId="13" xfId="0" applyFont="1" applyFill="1" applyBorder="1" applyAlignment="1">
      <alignment horizontal="left"/>
    </xf>
    <xf numFmtId="0" fontId="9" fillId="0" borderId="14" xfId="0" applyFont="1" applyBorder="1"/>
    <xf numFmtId="0" fontId="9" fillId="0" borderId="15" xfId="0" applyFont="1" applyBorder="1"/>
    <xf numFmtId="0" fontId="3" fillId="0" borderId="17" xfId="0" applyFont="1" applyBorder="1" applyAlignment="1">
      <alignment horizontal="center" vertical="center" textRotation="90"/>
    </xf>
    <xf numFmtId="0" fontId="9" fillId="0" borderId="20" xfId="0" applyFont="1" applyBorder="1"/>
    <xf numFmtId="0" fontId="9" fillId="0" borderId="22" xfId="0" applyFont="1" applyBorder="1"/>
    <xf numFmtId="0" fontId="7" fillId="0" borderId="0" xfId="0" applyFont="1" applyAlignment="1"/>
    <xf numFmtId="0" fontId="3" fillId="0" borderId="0" xfId="0" applyFont="1" applyAlignment="1"/>
    <xf numFmtId="165" fontId="10" fillId="6" borderId="2" xfId="0" applyNumberFormat="1" applyFont="1" applyFill="1" applyBorder="1" applyAlignment="1"/>
    <xf numFmtId="165" fontId="0" fillId="0" borderId="0" xfId="0" applyNumberFormat="1"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9525</xdr:colOff>
      <xdr:row>0</xdr:row>
      <xdr:rowOff>19050</xdr:rowOff>
    </xdr:from>
    <xdr:ext cx="2152650" cy="533400"/>
    <xdr:pic>
      <xdr:nvPicPr>
        <xdr:cNvPr id="2"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0"/>
  <sheetViews>
    <sheetView tabSelected="1" zoomScaleNormal="100" workbookViewId="0">
      <selection activeCell="C11" sqref="C11"/>
    </sheetView>
  </sheetViews>
  <sheetFormatPr baseColWidth="10" defaultColWidth="12.625" defaultRowHeight="15" customHeight="1"/>
  <cols>
    <col min="1" max="1" width="17.625" customWidth="1"/>
    <col min="2" max="2" width="13.25" customWidth="1"/>
    <col min="3" max="3" width="65.625" customWidth="1"/>
    <col min="4" max="4" width="14.125" customWidth="1"/>
    <col min="5" max="5" width="25.125" customWidth="1"/>
    <col min="6" max="6" width="10" customWidth="1"/>
    <col min="7" max="7" width="21.875" customWidth="1"/>
    <col min="8" max="8" width="10.25" customWidth="1"/>
    <col min="9" max="9" width="15" customWidth="1"/>
    <col min="10" max="10" width="15.125" customWidth="1"/>
    <col min="11" max="11" width="16.375" customWidth="1"/>
    <col min="12" max="12" width="26.125" customWidth="1"/>
    <col min="13" max="13" width="19.75" customWidth="1"/>
    <col min="14" max="26" width="10" customWidth="1"/>
  </cols>
  <sheetData>
    <row r="1" spans="1:13" ht="20.25">
      <c r="C1" s="1" t="s">
        <v>0</v>
      </c>
    </row>
    <row r="2" spans="1:13">
      <c r="C2" s="2" t="s">
        <v>1</v>
      </c>
      <c r="G2" s="3" t="s">
        <v>2</v>
      </c>
      <c r="H2" s="4" t="s">
        <v>3</v>
      </c>
      <c r="I2" s="4" t="s">
        <v>4</v>
      </c>
      <c r="J2" s="4" t="s">
        <v>5</v>
      </c>
      <c r="K2" s="5" t="s">
        <v>6</v>
      </c>
    </row>
    <row r="3" spans="1:13">
      <c r="C3" s="2" t="s">
        <v>7</v>
      </c>
      <c r="G3" s="6" t="s">
        <v>8</v>
      </c>
      <c r="H3" s="7">
        <f>+B35</f>
        <v>131.24703651019442</v>
      </c>
      <c r="I3" s="8">
        <v>356</v>
      </c>
      <c r="J3" s="8">
        <v>500</v>
      </c>
      <c r="K3" s="8">
        <v>370</v>
      </c>
      <c r="L3" s="9" t="s">
        <v>9</v>
      </c>
    </row>
    <row r="4" spans="1:13">
      <c r="G4" s="10" t="s">
        <v>10</v>
      </c>
      <c r="H4" s="11">
        <f t="shared" ref="H4:K4" si="0">+H3/$B$7</f>
        <v>8.2029397818871512</v>
      </c>
      <c r="I4" s="11">
        <f t="shared" si="0"/>
        <v>22.25</v>
      </c>
      <c r="J4" s="11">
        <f t="shared" si="0"/>
        <v>31.25</v>
      </c>
      <c r="K4" s="12">
        <f t="shared" si="0"/>
        <v>23.125</v>
      </c>
    </row>
    <row r="5" spans="1:13">
      <c r="G5" s="10" t="s">
        <v>11</v>
      </c>
      <c r="H5" s="11">
        <f t="shared" ref="H5:K5" si="1">+H4/$B$6</f>
        <v>0.25634186818397348</v>
      </c>
      <c r="I5" s="11">
        <f t="shared" si="1"/>
        <v>0.6953125</v>
      </c>
      <c r="J5" s="11">
        <f t="shared" si="1"/>
        <v>0.9765625</v>
      </c>
      <c r="K5" s="12">
        <f t="shared" si="1"/>
        <v>0.72265625</v>
      </c>
    </row>
    <row r="6" spans="1:13">
      <c r="A6" s="13" t="s">
        <v>12</v>
      </c>
      <c r="B6" s="14">
        <v>32</v>
      </c>
      <c r="C6" s="15" t="s">
        <v>13</v>
      </c>
      <c r="D6" s="16"/>
      <c r="G6" s="6" t="s">
        <v>14</v>
      </c>
      <c r="H6" s="17">
        <f>+$B$31*H3</f>
        <v>23624.466571834997</v>
      </c>
      <c r="I6" s="17">
        <f>+$B$31*I3</f>
        <v>64080</v>
      </c>
      <c r="J6" s="17">
        <f>+$B$31*J3</f>
        <v>90000</v>
      </c>
      <c r="K6" s="18">
        <f>+$B$31*K3</f>
        <v>66600</v>
      </c>
    </row>
    <row r="7" spans="1:13">
      <c r="A7" s="19"/>
      <c r="B7" s="20">
        <v>16</v>
      </c>
      <c r="C7" s="21" t="s">
        <v>15</v>
      </c>
      <c r="D7" s="22"/>
      <c r="G7" s="6" t="s">
        <v>12</v>
      </c>
      <c r="H7" s="17">
        <f t="shared" ref="H7:K7" si="2">+$B$16</f>
        <v>13840</v>
      </c>
      <c r="I7" s="17">
        <f t="shared" si="2"/>
        <v>13840</v>
      </c>
      <c r="J7" s="17">
        <f t="shared" si="2"/>
        <v>13840</v>
      </c>
      <c r="K7" s="18">
        <f t="shared" si="2"/>
        <v>13840</v>
      </c>
    </row>
    <row r="8" spans="1:13">
      <c r="A8" s="19"/>
      <c r="B8" s="23">
        <f>1*D8*B7</f>
        <v>800</v>
      </c>
      <c r="C8" s="21" t="s">
        <v>16</v>
      </c>
      <c r="D8" s="24">
        <v>50</v>
      </c>
      <c r="G8" s="6" t="s">
        <v>17</v>
      </c>
      <c r="H8" s="17">
        <f>+$B$29*H3</f>
        <v>9784.4665718349952</v>
      </c>
      <c r="I8" s="17">
        <f>+$B$29*I3</f>
        <v>26539.800000000003</v>
      </c>
      <c r="J8" s="17">
        <f>+$B$29*J3</f>
        <v>37275.000000000007</v>
      </c>
      <c r="K8" s="18">
        <f>+$B$29*K3</f>
        <v>27583.500000000004</v>
      </c>
    </row>
    <row r="9" spans="1:13">
      <c r="A9" s="19"/>
      <c r="B9" s="23">
        <f>4*D9*B7</f>
        <v>2240</v>
      </c>
      <c r="C9" s="21" t="s">
        <v>18</v>
      </c>
      <c r="D9" s="24">
        <v>35</v>
      </c>
      <c r="G9" s="6" t="s">
        <v>19</v>
      </c>
      <c r="H9" s="17">
        <f t="shared" ref="H9:K9" si="3">+H8+H7</f>
        <v>23624.466571834993</v>
      </c>
      <c r="I9" s="17">
        <f t="shared" si="3"/>
        <v>40379.800000000003</v>
      </c>
      <c r="J9" s="17">
        <f t="shared" si="3"/>
        <v>51115.000000000007</v>
      </c>
      <c r="K9" s="18">
        <f t="shared" si="3"/>
        <v>41423.5</v>
      </c>
    </row>
    <row r="10" spans="1:13">
      <c r="A10" s="19"/>
      <c r="B10" s="23">
        <f>(+B6-5)*D10*B7</f>
        <v>10800</v>
      </c>
      <c r="C10" s="21" t="s">
        <v>20</v>
      </c>
      <c r="D10" s="24">
        <v>25</v>
      </c>
      <c r="G10" s="6" t="s">
        <v>21</v>
      </c>
      <c r="H10" s="17">
        <f t="shared" ref="H10:K10" si="4">+H6-H9</f>
        <v>0</v>
      </c>
      <c r="I10" s="17">
        <f t="shared" si="4"/>
        <v>23700.199999999997</v>
      </c>
      <c r="J10" s="17">
        <f t="shared" si="4"/>
        <v>38884.999999999993</v>
      </c>
      <c r="K10" s="18">
        <f t="shared" si="4"/>
        <v>25176.5</v>
      </c>
    </row>
    <row r="11" spans="1:13">
      <c r="A11" s="19"/>
      <c r="B11" s="23">
        <f>+SUM(B8:B10)</f>
        <v>13840</v>
      </c>
      <c r="C11" s="21" t="s">
        <v>22</v>
      </c>
      <c r="D11" s="22"/>
      <c r="G11" s="6" t="s">
        <v>23</v>
      </c>
      <c r="H11" s="25">
        <f t="shared" ref="H11:K11" si="5">+IF(H10&gt;0,H10*0.05,0)</f>
        <v>0</v>
      </c>
      <c r="I11" s="25">
        <f t="shared" si="5"/>
        <v>1185.01</v>
      </c>
      <c r="J11" s="25">
        <f t="shared" si="5"/>
        <v>1944.2499999999998</v>
      </c>
      <c r="K11" s="26">
        <f t="shared" si="5"/>
        <v>1258.825</v>
      </c>
    </row>
    <row r="12" spans="1:13">
      <c r="A12" s="19"/>
      <c r="B12" s="27">
        <v>0</v>
      </c>
      <c r="C12" s="21" t="s">
        <v>24</v>
      </c>
      <c r="D12" s="22"/>
      <c r="G12" s="6" t="s">
        <v>25</v>
      </c>
      <c r="H12" s="17">
        <f t="shared" ref="H12:K12" si="6">+H10-H11</f>
        <v>0</v>
      </c>
      <c r="I12" s="17">
        <f t="shared" si="6"/>
        <v>22515.19</v>
      </c>
      <c r="J12" s="17">
        <f t="shared" si="6"/>
        <v>36940.749999999993</v>
      </c>
      <c r="K12" s="18">
        <f t="shared" si="6"/>
        <v>23917.674999999999</v>
      </c>
    </row>
    <row r="13" spans="1:13">
      <c r="A13" s="19"/>
      <c r="B13" s="27">
        <v>0</v>
      </c>
      <c r="C13" s="21" t="s">
        <v>26</v>
      </c>
      <c r="D13" s="22"/>
      <c r="G13" s="6" t="s">
        <v>27</v>
      </c>
      <c r="H13" s="17">
        <f>+H12/($H$18+$H$19)+$H$23</f>
        <v>369.13229018492177</v>
      </c>
      <c r="I13" s="17">
        <f t="shared" ref="I13:K13" si="7">+I12/($H$18+$H$19)+$H$23</f>
        <v>720.93213393492169</v>
      </c>
      <c r="J13" s="17">
        <f t="shared" si="7"/>
        <v>946.33150893492166</v>
      </c>
      <c r="K13" s="18">
        <f t="shared" si="7"/>
        <v>742.8459620599217</v>
      </c>
    </row>
    <row r="14" spans="1:13">
      <c r="A14" s="19"/>
      <c r="B14" s="27">
        <v>0</v>
      </c>
      <c r="C14" s="21" t="s">
        <v>28</v>
      </c>
      <c r="D14" s="22"/>
      <c r="G14" s="6" t="s">
        <v>29</v>
      </c>
      <c r="H14" s="28">
        <f t="shared" ref="H14:K14" si="8">(H13/$H$23)-1</f>
        <v>0</v>
      </c>
      <c r="I14" s="28">
        <f t="shared" si="8"/>
        <v>0.9530454341281307</v>
      </c>
      <c r="J14" s="28">
        <f t="shared" si="8"/>
        <v>1.5636649355732173</v>
      </c>
      <c r="K14" s="29">
        <f t="shared" si="8"/>
        <v>1.0124112189908474</v>
      </c>
      <c r="L14" s="30"/>
    </row>
    <row r="15" spans="1:13">
      <c r="A15" s="19"/>
      <c r="B15" s="27">
        <v>0</v>
      </c>
      <c r="C15" s="21" t="s">
        <v>30</v>
      </c>
      <c r="D15" s="22"/>
    </row>
    <row r="16" spans="1:13">
      <c r="A16" s="31"/>
      <c r="B16" s="32">
        <f>+SUM(B11:B15)</f>
        <v>13840</v>
      </c>
      <c r="C16" s="33" t="s">
        <v>31</v>
      </c>
      <c r="D16" s="34"/>
      <c r="G16" s="35" t="s">
        <v>32</v>
      </c>
      <c r="J16" s="30"/>
      <c r="K16" s="30"/>
      <c r="L16" s="30"/>
      <c r="M16" s="30"/>
    </row>
    <row r="17" spans="1:8">
      <c r="G17" s="36" t="s">
        <v>33</v>
      </c>
      <c r="H17" s="37">
        <f>+H3</f>
        <v>131.24703651019442</v>
      </c>
    </row>
    <row r="18" spans="1:8">
      <c r="D18" s="35" t="s">
        <v>34</v>
      </c>
      <c r="E18" s="35" t="s">
        <v>35</v>
      </c>
      <c r="G18" s="36" t="s">
        <v>36</v>
      </c>
      <c r="H18" s="25">
        <f>+$B$6</f>
        <v>32</v>
      </c>
    </row>
    <row r="19" spans="1:8">
      <c r="A19" s="38" t="s">
        <v>37</v>
      </c>
      <c r="B19" s="39">
        <f t="shared" ref="B19:B27" si="9">IF(D19&gt;0.001,D19*E19,0)</f>
        <v>35</v>
      </c>
      <c r="C19" s="40" t="s">
        <v>38</v>
      </c>
      <c r="D19" s="41">
        <v>35</v>
      </c>
      <c r="E19" s="42">
        <v>1</v>
      </c>
      <c r="G19" s="36" t="s">
        <v>39</v>
      </c>
      <c r="H19" s="25">
        <v>32</v>
      </c>
    </row>
    <row r="20" spans="1:8">
      <c r="A20" s="43"/>
      <c r="B20" s="44">
        <f t="shared" si="9"/>
        <v>7</v>
      </c>
      <c r="C20" s="45" t="s">
        <v>40</v>
      </c>
      <c r="D20" s="46">
        <v>7</v>
      </c>
      <c r="E20" s="47">
        <v>1</v>
      </c>
      <c r="G20" s="36" t="s">
        <v>41</v>
      </c>
      <c r="H20" s="17">
        <f>+H8</f>
        <v>9784.4665718349952</v>
      </c>
    </row>
    <row r="21" spans="1:8" ht="15.75" customHeight="1">
      <c r="A21" s="43"/>
      <c r="B21" s="44">
        <f t="shared" si="9"/>
        <v>1</v>
      </c>
      <c r="C21" s="45" t="s">
        <v>42</v>
      </c>
      <c r="D21" s="46">
        <v>1</v>
      </c>
      <c r="E21" s="47">
        <v>1</v>
      </c>
      <c r="G21" s="36" t="s">
        <v>12</v>
      </c>
      <c r="H21" s="17">
        <f>+$B$16</f>
        <v>13840</v>
      </c>
    </row>
    <row r="22" spans="1:8" ht="15.75" customHeight="1">
      <c r="A22" s="43"/>
      <c r="B22" s="44">
        <f>IF(D22&gt;0.001,D22*E22,0)</f>
        <v>0.4</v>
      </c>
      <c r="C22" s="48" t="s">
        <v>76</v>
      </c>
      <c r="D22" s="89">
        <v>0.4</v>
      </c>
      <c r="E22" s="47">
        <v>1</v>
      </c>
      <c r="G22" s="36" t="s">
        <v>43</v>
      </c>
      <c r="H22" s="17">
        <f>+H21+H20</f>
        <v>23624.466571834993</v>
      </c>
    </row>
    <row r="23" spans="1:8" ht="15.75" customHeight="1">
      <c r="A23" s="43"/>
      <c r="B23" s="44">
        <f>IF(D23&gt;0.001,D23*E23,0)</f>
        <v>4.3499999999999996</v>
      </c>
      <c r="C23" s="45" t="s">
        <v>78</v>
      </c>
      <c r="D23" s="46">
        <v>4.3499999999999996</v>
      </c>
      <c r="E23" s="47">
        <v>1</v>
      </c>
      <c r="G23" s="36" t="s">
        <v>44</v>
      </c>
      <c r="H23" s="17">
        <f>+H22/(H19+H18)</f>
        <v>369.13229018492177</v>
      </c>
    </row>
    <row r="24" spans="1:8" ht="15.75" customHeight="1">
      <c r="A24" s="43"/>
      <c r="B24" s="44">
        <f>IF(D24&gt;0.001,D24*E24,0)</f>
        <v>1.4</v>
      </c>
      <c r="C24" s="45" t="s">
        <v>77</v>
      </c>
      <c r="D24" s="46">
        <v>1.4</v>
      </c>
      <c r="E24" s="47">
        <v>1</v>
      </c>
    </row>
    <row r="25" spans="1:8" ht="15.75" customHeight="1">
      <c r="A25" s="43"/>
      <c r="B25" s="44">
        <f>IF(D25&gt;0.001,D25*E25,0)</f>
        <v>2</v>
      </c>
      <c r="C25" s="45" t="s">
        <v>79</v>
      </c>
      <c r="D25" s="46">
        <v>2</v>
      </c>
      <c r="E25" s="47">
        <v>1</v>
      </c>
      <c r="G25" s="35" t="s">
        <v>45</v>
      </c>
    </row>
    <row r="26" spans="1:8" ht="15.75" customHeight="1">
      <c r="A26" s="43"/>
      <c r="B26" s="49">
        <v>0.1</v>
      </c>
      <c r="C26" s="45" t="s">
        <v>48</v>
      </c>
      <c r="D26" s="50"/>
      <c r="E26" s="51"/>
      <c r="G26" s="35" t="s">
        <v>46</v>
      </c>
    </row>
    <row r="27" spans="1:8" ht="15.75" customHeight="1">
      <c r="A27" s="43"/>
      <c r="B27" s="49">
        <v>0.03</v>
      </c>
      <c r="C27" s="45" t="s">
        <v>50</v>
      </c>
      <c r="D27" s="50"/>
      <c r="E27" s="51"/>
      <c r="G27" s="35" t="s">
        <v>47</v>
      </c>
    </row>
    <row r="28" spans="1:8" ht="15.75" customHeight="1">
      <c r="A28" s="43"/>
      <c r="B28" s="27">
        <v>0</v>
      </c>
      <c r="C28" s="45" t="s">
        <v>52</v>
      </c>
      <c r="D28" s="50"/>
      <c r="E28" s="51"/>
      <c r="G28" s="35" t="s">
        <v>49</v>
      </c>
    </row>
    <row r="29" spans="1:8" ht="15.75" customHeight="1">
      <c r="A29" s="52"/>
      <c r="B29" s="53">
        <f>+B19+B20+B21+B22+B23+B24+B25+(B31*B26)+(B27*B31)+B28</f>
        <v>74.550000000000011</v>
      </c>
      <c r="C29" s="54" t="s">
        <v>37</v>
      </c>
      <c r="D29" s="55"/>
      <c r="E29" s="56"/>
      <c r="G29" s="35" t="s">
        <v>51</v>
      </c>
    </row>
    <row r="30" spans="1:8" ht="15.75" customHeight="1">
      <c r="C30" s="90"/>
    </row>
    <row r="31" spans="1:8" ht="15.75" customHeight="1">
      <c r="A31" s="57" t="s">
        <v>53</v>
      </c>
      <c r="B31" s="58">
        <v>180</v>
      </c>
      <c r="C31" s="81" t="s">
        <v>54</v>
      </c>
      <c r="D31" s="82"/>
      <c r="E31" s="83"/>
    </row>
    <row r="32" spans="1:8" ht="15.75" customHeight="1"/>
    <row r="33" spans="1:6" ht="15.75" customHeight="1">
      <c r="A33" s="60" t="s">
        <v>55</v>
      </c>
      <c r="B33" s="61">
        <f>+B16</f>
        <v>13840</v>
      </c>
      <c r="C33" s="62" t="s">
        <v>12</v>
      </c>
      <c r="F33" s="59"/>
    </row>
    <row r="34" spans="1:6" ht="15.75" customHeight="1">
      <c r="A34" s="63" t="s">
        <v>56</v>
      </c>
      <c r="B34" s="64">
        <f>+B31-B29</f>
        <v>105.44999999999999</v>
      </c>
      <c r="C34" s="65" t="s">
        <v>57</v>
      </c>
    </row>
    <row r="35" spans="1:6" ht="15.75" customHeight="1">
      <c r="A35" s="66"/>
      <c r="B35" s="67">
        <f>+B33/B34</f>
        <v>131.24703651019442</v>
      </c>
      <c r="C35" s="68" t="s">
        <v>58</v>
      </c>
    </row>
    <row r="36" spans="1:6" ht="15.75" customHeight="1"/>
    <row r="37" spans="1:6" ht="15.75" customHeight="1">
      <c r="A37" s="35" t="s">
        <v>59</v>
      </c>
      <c r="E37" s="69"/>
    </row>
    <row r="38" spans="1:6" ht="15.75" customHeight="1">
      <c r="A38" s="35" t="s">
        <v>60</v>
      </c>
    </row>
    <row r="39" spans="1:6" ht="15.75" customHeight="1">
      <c r="A39" s="35" t="s">
        <v>61</v>
      </c>
    </row>
    <row r="40" spans="1:6" ht="15.75" customHeight="1"/>
    <row r="41" spans="1:6" ht="15.75" customHeight="1">
      <c r="A41" s="35" t="s">
        <v>62</v>
      </c>
    </row>
    <row r="42" spans="1:6" ht="15.75" customHeight="1"/>
    <row r="43" spans="1:6" ht="15.75" customHeight="1">
      <c r="A43" s="88"/>
    </row>
    <row r="44" spans="1:6" ht="15.75" customHeight="1">
      <c r="A44" s="88"/>
    </row>
    <row r="45" spans="1:6" ht="15.75" customHeight="1">
      <c r="A45" s="87"/>
    </row>
    <row r="46" spans="1:6" ht="15.75" customHeight="1"/>
    <row r="47" spans="1:6" ht="15.75" customHeight="1"/>
    <row r="48" spans="1: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31:E31"/>
  </mergeCells>
  <pageMargins left="0.7" right="0.7" top="0.75" bottom="0.7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workbookViewId="0">
      <selection activeCell="C6" sqref="C6"/>
    </sheetView>
  </sheetViews>
  <sheetFormatPr baseColWidth="10" defaultColWidth="12.625" defaultRowHeight="15" customHeight="1"/>
  <cols>
    <col min="1" max="1" width="10" customWidth="1"/>
    <col min="2" max="2" width="15.75" customWidth="1"/>
    <col min="3" max="3" width="107.75" customWidth="1"/>
    <col min="4" max="26" width="10" customWidth="1"/>
  </cols>
  <sheetData>
    <row r="1" spans="1:3">
      <c r="A1" s="70"/>
      <c r="B1" s="71" t="s">
        <v>63</v>
      </c>
      <c r="C1" s="72" t="s">
        <v>64</v>
      </c>
    </row>
    <row r="2" spans="1:3" ht="75">
      <c r="A2" s="84" t="s">
        <v>65</v>
      </c>
      <c r="B2" s="73" t="s">
        <v>66</v>
      </c>
      <c r="C2" s="74" t="s">
        <v>67</v>
      </c>
    </row>
    <row r="3" spans="1:3" ht="45">
      <c r="A3" s="85"/>
      <c r="B3" s="75" t="s">
        <v>68</v>
      </c>
      <c r="C3" s="76" t="s">
        <v>69</v>
      </c>
    </row>
    <row r="4" spans="1:3" ht="75">
      <c r="A4" s="86"/>
      <c r="B4" s="77" t="s">
        <v>70</v>
      </c>
      <c r="C4" s="78" t="s">
        <v>71</v>
      </c>
    </row>
    <row r="5" spans="1:3" ht="45">
      <c r="A5" s="84" t="s">
        <v>32</v>
      </c>
      <c r="B5" s="73" t="s">
        <v>72</v>
      </c>
      <c r="C5" s="79" t="s">
        <v>80</v>
      </c>
    </row>
    <row r="6" spans="1:3" ht="60">
      <c r="A6" s="85"/>
      <c r="B6" s="75" t="s">
        <v>73</v>
      </c>
      <c r="C6" s="80" t="s">
        <v>81</v>
      </c>
    </row>
    <row r="7" spans="1:3" ht="75">
      <c r="A7" s="86"/>
      <c r="B7" s="77" t="s">
        <v>74</v>
      </c>
      <c r="C7" s="78" t="s">
        <v>75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2:A4"/>
    <mergeCell ref="A5:A7"/>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Cálculo Tipo Plantín</vt:lpstr>
      <vt:lpstr>Justificación Plantín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Lucas</cp:lastModifiedBy>
  <dcterms:created xsi:type="dcterms:W3CDTF">2021-01-12T19:33:14Z</dcterms:created>
  <dcterms:modified xsi:type="dcterms:W3CDTF">2021-06-25T21:36:08Z</dcterms:modified>
</cp:coreProperties>
</file>