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xr:revisionPtr revIDLastSave="0" documentId="8_{AA759A59-9590-1B4F-AC41-E729441C0F68}" xr6:coauthVersionLast="47" xr6:coauthVersionMax="47" xr10:uidLastSave="{00000000-0000-0000-0000-000000000000}"/>
  <bookViews>
    <workbookView xWindow="0" yWindow="0" windowWidth="20040" windowHeight="7485" xr2:uid="{00000000-000D-0000-FFFF-FFFF00000000}"/>
  </bookViews>
  <sheets>
    <sheet name="Cálculo" sheetId="1" r:id="rId1"/>
    <sheet name="Justificació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21" i="1"/>
  <c r="B22" i="1"/>
  <c r="B19" i="1"/>
  <c r="B8" i="1"/>
  <c r="B26" i="1"/>
  <c r="B31" i="1"/>
  <c r="K4" i="1"/>
  <c r="K5" i="1"/>
  <c r="K6" i="1"/>
  <c r="H18" i="1"/>
  <c r="H19" i="1"/>
  <c r="B10" i="1"/>
  <c r="B9" i="1"/>
  <c r="B11" i="1"/>
  <c r="B16" i="1"/>
  <c r="I7" i="1"/>
  <c r="K8" i="1"/>
  <c r="J7" i="1"/>
  <c r="B30" i="1"/>
  <c r="B32" i="1"/>
  <c r="H3" i="1"/>
  <c r="K7" i="1"/>
  <c r="K9" i="1"/>
  <c r="K10" i="1"/>
  <c r="K11" i="1"/>
  <c r="K12" i="1"/>
  <c r="H7" i="1"/>
  <c r="H21" i="1"/>
  <c r="I8" i="1"/>
  <c r="I9" i="1"/>
  <c r="H17" i="1"/>
  <c r="H8" i="1"/>
  <c r="H20" i="1"/>
  <c r="H22" i="1"/>
  <c r="H23" i="1"/>
  <c r="K13" i="1"/>
  <c r="K14" i="1"/>
  <c r="H4" i="1"/>
  <c r="H5" i="1"/>
  <c r="J6" i="1"/>
  <c r="H6" i="1"/>
  <c r="I4" i="1"/>
  <c r="I5" i="1"/>
  <c r="I6" i="1"/>
  <c r="I10" i="1"/>
  <c r="J8" i="1"/>
  <c r="J9" i="1"/>
  <c r="J10" i="1"/>
  <c r="J11" i="1"/>
  <c r="J12" i="1"/>
  <c r="J13" i="1"/>
  <c r="J14" i="1"/>
  <c r="J4" i="1"/>
  <c r="J5" i="1"/>
  <c r="H9" i="1"/>
  <c r="H10" i="1"/>
  <c r="H11" i="1"/>
  <c r="H12" i="1"/>
  <c r="H13" i="1"/>
  <c r="H14" i="1"/>
  <c r="I11" i="1"/>
  <c r="I12" i="1"/>
  <c r="I13" i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tc={6927FCD2-C961-874E-AD06-1463312BFDB1}</author>
  </authors>
  <commentList>
    <comment ref="D19" authorId="0" shapeId="0" xr:uid="{6927FCD2-C961-874E-AD06-1463312BFDB1}">
      <text>
        <t>[Threaded comment]
Your version of Excel allows you to read this threaded comment; however, any edits to it will get removed if the file is opened in a newer version of Excel. Learn more: https://go.microsoft.com/fwlink/?linkid=870924
Comment:
    10p</t>
      </text>
    </comment>
  </commentList>
</comments>
</file>

<file path=xl/sharedStrings.xml><?xml version="1.0" encoding="utf-8"?>
<sst xmlns="http://schemas.openxmlformats.org/spreadsheetml/2006/main" count="84" uniqueCount="79">
  <si>
    <t>Proyección Financiera</t>
  </si>
  <si>
    <t>Las celdas en rojo no se editan ya que se calculan automáticamente</t>
  </si>
  <si>
    <t>Escenarios:</t>
  </si>
  <si>
    <t>Escenario PE</t>
  </si>
  <si>
    <t>Escenario Pesimista</t>
  </si>
  <si>
    <t>Escenario Optimista</t>
  </si>
  <si>
    <t>Escenario Proyectado</t>
  </si>
  <si>
    <t>Las celdas pintadas en verde son las que debés completar</t>
  </si>
  <si>
    <t>Unidades Objetivo</t>
  </si>
  <si>
    <t>Poner Q unidades de los escenarios</t>
  </si>
  <si>
    <t>Unidades/Módulo</t>
  </si>
  <si>
    <t>Unidades/Módulo/Persona</t>
  </si>
  <si>
    <t>Costos Fijos</t>
  </si>
  <si>
    <t>Estudiantes Totales</t>
  </si>
  <si>
    <t>Ingresos</t>
  </si>
  <si>
    <t>Módulos</t>
  </si>
  <si>
    <t>Sueldo Director General</t>
  </si>
  <si>
    <t>Costos Variables</t>
  </si>
  <si>
    <t>Sueldos Directores</t>
  </si>
  <si>
    <t>Costos Totales</t>
  </si>
  <si>
    <t>Salarios</t>
  </si>
  <si>
    <t>Ganancia antes de Impuestos</t>
  </si>
  <si>
    <t>Total Sueldos y Salarios</t>
  </si>
  <si>
    <t>Impuestos</t>
  </si>
  <si>
    <t>Stand ferias / Publicidad</t>
  </si>
  <si>
    <t>Resultado Proyectado</t>
  </si>
  <si>
    <t>Movilidad eventos extra áulicos del programa</t>
  </si>
  <si>
    <t>Valor de Acción Proyectada</t>
  </si>
  <si>
    <t>Herramientas</t>
  </si>
  <si>
    <t>Rentabilidad Proyectada</t>
  </si>
  <si>
    <t>Otros (impresiones, premios, etc.)</t>
  </si>
  <si>
    <t>Total Costos Fijos</t>
  </si>
  <si>
    <t>Capitalización:</t>
  </si>
  <si>
    <t>Objetivo = PE</t>
  </si>
  <si>
    <t>$ costo unitario</t>
  </si>
  <si>
    <t>Q a usar del insumo por producto</t>
  </si>
  <si>
    <t>Acciones Internas</t>
  </si>
  <si>
    <t>Costo Variable Unitario</t>
  </si>
  <si>
    <t>Insumo 1: ………………. (costos de este insumo por unidad producida)</t>
  </si>
  <si>
    <t>Acciones Externas</t>
  </si>
  <si>
    <t>Insumo 2: ………………. (costos de este insumo por unidad producida)</t>
  </si>
  <si>
    <t>Costos Variables (al PE)</t>
  </si>
  <si>
    <t>Insumo 3: ………………. (costos de este insumo por unidad producida)</t>
  </si>
  <si>
    <t>Insumo 4: …………….... (costos de este insumo por unidad producida)</t>
  </si>
  <si>
    <t>Total Capital Inicial (PE)</t>
  </si>
  <si>
    <t>Comisión por venta</t>
  </si>
  <si>
    <t>Valor de Acción</t>
  </si>
  <si>
    <t>Costos asociados a la cobranza de venta unitaria (Mercado Pago, Posnet, Tarjetas, etc.)</t>
  </si>
  <si>
    <t>Costos asociados a distribución y entrega unitaria</t>
  </si>
  <si>
    <t>Supuestos de este cálculo de desarrollo de capital inicial:</t>
  </si>
  <si>
    <t>cantidad de acciones emitidas = el doble que la cantidad de miembros de tu emprendimiento</t>
  </si>
  <si>
    <t>capital inicial = para cubrir el total de tus costos fijos + los costos variables hasta alcanzar PE (para después reinvertir para seguir produciendo)</t>
  </si>
  <si>
    <t>Precio</t>
  </si>
  <si>
    <t>No puede ser menor al costo variable unitario, debe contemplar margen para costos fijos + % de ganancia + riesgos</t>
  </si>
  <si>
    <t>*si querés, podés modificar cualquiera de estos supuestos</t>
  </si>
  <si>
    <t>**ver también el cálculo que se desprende en el SGME como sugerencia de valor de acción</t>
  </si>
  <si>
    <t>Punto de Equilibrio</t>
  </si>
  <si>
    <t>(Qe)</t>
  </si>
  <si>
    <t>Contribución Marginal Unitaria (Precio - CVU)</t>
  </si>
  <si>
    <t>Unidades (CF/CMU)</t>
  </si>
  <si>
    <t>Qe = cantidades en las mis Costos Totales son Iguales a mis Ingresos</t>
  </si>
  <si>
    <t>Por debajo de las Qe estaremos en zona de Pérdidas</t>
  </si>
  <si>
    <t xml:space="preserve">Por encima de las Qe estaremos en zona de Ganacias </t>
  </si>
  <si>
    <t>Si entendés que los márgenes de ganancias, los escenarios de producción y/o ventas no son los deseados, podés subir el precio, bajar los costos o aumentar tu objetivo de ventas</t>
  </si>
  <si>
    <t>Preguntas</t>
  </si>
  <si>
    <t>Respuestas</t>
  </si>
  <si>
    <t>Escenario objetivo:</t>
  </si>
  <si>
    <t>1- ¿Por qué elegiste ese objetivo de ventas/producción?</t>
  </si>
  <si>
    <t>2- ¿Cómo vas a hacer para alcanzar esas ventas?</t>
  </si>
  <si>
    <t>3- ¿Cómo vas a hacer para producir esa cantidad en el tiempo determinado?</t>
  </si>
  <si>
    <t>1- ¿Por qué elegiste ese capital incial?</t>
  </si>
  <si>
    <t>2- ¿Por qué elegiste vender esa cantidad de acciones?</t>
  </si>
  <si>
    <t>3- ¿En qué módulo/s del programa van a reinvertir y por qué?</t>
  </si>
  <si>
    <t xml:space="preserve">Elegimos ese objetivo de ventas para tener un margen de rentabilidad aceptable y atractivo para los inversores, considerando el valor de la accion. </t>
  </si>
  <si>
    <t>Vamos a promocionar el producto por redes sociales y participar de algunas ferias locales.</t>
  </si>
  <si>
    <t xml:space="preserve">nuestro producto requere del fraccionamiento que lo realizaremos en equipos de trabajo </t>
  </si>
  <si>
    <t>porque al calcular ese monto buscamos un valor de accion que no sea muy elevado.</t>
  </si>
  <si>
    <t>porque con esa cantidad de acciones logramos recaudar fondos necesarios para desarrolar el proyecto.</t>
  </si>
  <si>
    <t>si logramos que el negocio se sigua desarrollando vamos a reinvertir en la produccion para seguir vendiendo el producto.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</si>
</sst>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9"/>
      <name val="Helvetica"/>
    </font>
    <font>
      <sz val="11"/>
      <color theme="9"/>
      <name val="Helvetica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2" borderId="1" xfId="0" applyFill="1" applyBorder="1" applyAlignment="1">
      <alignment horizontal="right"/>
    </xf>
    <xf numFmtId="0" fontId="0" fillId="3" borderId="2" xfId="0" applyFill="1" applyBorder="1"/>
    <xf numFmtId="0" fontId="0" fillId="4" borderId="3" xfId="0" applyFill="1" applyBorder="1" applyProtection="1">
      <protection locked="0"/>
    </xf>
    <xf numFmtId="0" fontId="0" fillId="3" borderId="3" xfId="0" applyFill="1" applyBorder="1"/>
    <xf numFmtId="0" fontId="0" fillId="3" borderId="4" xfId="0" applyFill="1" applyBorder="1"/>
    <xf numFmtId="0" fontId="0" fillId="5" borderId="1" xfId="0" applyFill="1" applyBorder="1"/>
    <xf numFmtId="0" fontId="0" fillId="3" borderId="5" xfId="0" applyFill="1" applyBorder="1"/>
    <xf numFmtId="0" fontId="0" fillId="4" borderId="0" xfId="0" applyFill="1" applyProtection="1">
      <protection locked="0"/>
    </xf>
    <xf numFmtId="0" fontId="0" fillId="3" borderId="0" xfId="0" applyFill="1"/>
    <xf numFmtId="0" fontId="0" fillId="3" borderId="6" xfId="0" applyFill="1" applyBorder="1"/>
    <xf numFmtId="1" fontId="2" fillId="5" borderId="1" xfId="0" applyNumberFormat="1" applyFont="1" applyFill="1" applyBorder="1"/>
    <xf numFmtId="165" fontId="2" fillId="3" borderId="0" xfId="1" applyNumberFormat="1" applyFont="1" applyFill="1" applyBorder="1" applyProtection="1"/>
    <xf numFmtId="165" fontId="0" fillId="4" borderId="6" xfId="1" applyNumberFormat="1" applyFont="1" applyFill="1" applyBorder="1" applyProtection="1">
      <protection locked="0"/>
    </xf>
    <xf numFmtId="165" fontId="2" fillId="0" borderId="1" xfId="0" applyNumberFormat="1" applyFont="1" applyBorder="1"/>
    <xf numFmtId="165" fontId="2" fillId="0" borderId="1" xfId="1" applyNumberFormat="1" applyFont="1" applyBorder="1" applyProtection="1"/>
    <xf numFmtId="165" fontId="0" fillId="4" borderId="0" xfId="1" applyNumberFormat="1" applyFont="1" applyFill="1" applyBorder="1" applyProtection="1">
      <protection locked="0"/>
    </xf>
    <xf numFmtId="0" fontId="2" fillId="0" borderId="1" xfId="0" applyFont="1" applyBorder="1"/>
    <xf numFmtId="2" fontId="0" fillId="5" borderId="1" xfId="0" applyNumberFormat="1" applyFill="1" applyBorder="1"/>
    <xf numFmtId="2" fontId="2" fillId="0" borderId="1" xfId="0" applyNumberFormat="1" applyFont="1" applyBorder="1"/>
    <xf numFmtId="0" fontId="0" fillId="3" borderId="7" xfId="0" applyFill="1" applyBorder="1"/>
    <xf numFmtId="165" fontId="2" fillId="3" borderId="8" xfId="1" applyNumberFormat="1" applyFont="1" applyFill="1" applyBorder="1" applyProtection="1"/>
    <xf numFmtId="0" fontId="0" fillId="3" borderId="8" xfId="0" applyFill="1" applyBorder="1"/>
    <xf numFmtId="0" fontId="0" fillId="3" borderId="9" xfId="0" applyFill="1" applyBorder="1"/>
    <xf numFmtId="0" fontId="0" fillId="6" borderId="2" xfId="0" applyFill="1" applyBorder="1"/>
    <xf numFmtId="9" fontId="2" fillId="0" borderId="1" xfId="2" applyFont="1" applyBorder="1" applyProtection="1"/>
    <xf numFmtId="9" fontId="0" fillId="0" borderId="0" xfId="2" applyFont="1" applyProtection="1"/>
    <xf numFmtId="0" fontId="0" fillId="6" borderId="5" xfId="0" applyFill="1" applyBorder="1"/>
    <xf numFmtId="9" fontId="0" fillId="4" borderId="0" xfId="2" applyFont="1" applyFill="1" applyBorder="1" applyProtection="1">
      <protection locked="0"/>
    </xf>
    <xf numFmtId="0" fontId="0" fillId="6" borderId="6" xfId="0" applyFill="1" applyBorder="1"/>
    <xf numFmtId="0" fontId="0" fillId="7" borderId="1" xfId="0" applyFill="1" applyBorder="1"/>
    <xf numFmtId="1" fontId="2" fillId="0" borderId="1" xfId="0" applyNumberFormat="1" applyFont="1" applyBorder="1"/>
    <xf numFmtId="0" fontId="0" fillId="6" borderId="7" xfId="0" applyFill="1" applyBorder="1"/>
    <xf numFmtId="165" fontId="2" fillId="6" borderId="8" xfId="1" applyNumberFormat="1" applyFont="1" applyFill="1" applyBorder="1" applyProtection="1"/>
    <xf numFmtId="0" fontId="0" fillId="8" borderId="10" xfId="0" applyFill="1" applyBorder="1"/>
    <xf numFmtId="165" fontId="0" fillId="4" borderId="11" xfId="1" applyNumberFormat="1" applyFont="1" applyFill="1" applyBorder="1" applyProtection="1">
      <protection locked="0"/>
    </xf>
    <xf numFmtId="0" fontId="0" fillId="9" borderId="2" xfId="0" applyFill="1" applyBorder="1"/>
    <xf numFmtId="165" fontId="2" fillId="9" borderId="11" xfId="0" applyNumberFormat="1" applyFont="1" applyFill="1" applyBorder="1"/>
    <xf numFmtId="0" fontId="0" fillId="9" borderId="12" xfId="0" applyFill="1" applyBorder="1" applyAlignment="1">
      <alignment horizontal="left"/>
    </xf>
    <xf numFmtId="0" fontId="0" fillId="9" borderId="5" xfId="0" applyFill="1" applyBorder="1"/>
    <xf numFmtId="165" fontId="2" fillId="9" borderId="0" xfId="0" applyNumberFormat="1" applyFont="1" applyFill="1"/>
    <xf numFmtId="0" fontId="0" fillId="9" borderId="6" xfId="0" applyFill="1" applyBorder="1" applyAlignment="1">
      <alignment horizontal="left"/>
    </xf>
    <xf numFmtId="0" fontId="0" fillId="9" borderId="7" xfId="0" applyFill="1" applyBorder="1"/>
    <xf numFmtId="0" fontId="0" fillId="9" borderId="9" xfId="0" applyFill="1" applyBorder="1"/>
    <xf numFmtId="0" fontId="0" fillId="10" borderId="1" xfId="0" applyFill="1" applyBorder="1" applyAlignment="1">
      <alignment horizontal="right"/>
    </xf>
    <xf numFmtId="165" fontId="2" fillId="10" borderId="1" xfId="0" applyNumberFormat="1" applyFont="1" applyFill="1" applyBorder="1"/>
    <xf numFmtId="165" fontId="2" fillId="10" borderId="1" xfId="1" applyNumberFormat="1" applyFont="1" applyFill="1" applyBorder="1" applyProtection="1"/>
    <xf numFmtId="0" fontId="2" fillId="10" borderId="1" xfId="0" applyFont="1" applyFill="1" applyBorder="1"/>
    <xf numFmtId="2" fontId="2" fillId="10" borderId="1" xfId="0" applyNumberFormat="1" applyFont="1" applyFill="1" applyBorder="1"/>
    <xf numFmtId="9" fontId="2" fillId="10" borderId="1" xfId="2" applyFont="1" applyFill="1" applyBorder="1" applyProtection="1"/>
    <xf numFmtId="1" fontId="5" fillId="11" borderId="1" xfId="0" applyNumberFormat="1" applyFont="1" applyFill="1" applyBorder="1"/>
    <xf numFmtId="0" fontId="0" fillId="2" borderId="1" xfId="0" applyFill="1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0" xfId="0" applyAlignment="1">
      <alignment wrapText="1"/>
    </xf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2" borderId="10" xfId="0" applyFill="1" applyBorder="1"/>
    <xf numFmtId="0" fontId="0" fillId="11" borderId="0" xfId="0" applyFill="1"/>
    <xf numFmtId="0" fontId="0" fillId="6" borderId="3" xfId="0" applyFill="1" applyBorder="1"/>
    <xf numFmtId="0" fontId="0" fillId="6" borderId="0" xfId="0" applyFill="1"/>
    <xf numFmtId="0" fontId="0" fillId="6" borderId="8" xfId="0" applyFill="1" applyBorder="1" applyAlignment="1">
      <alignment horizontal="left"/>
    </xf>
    <xf numFmtId="0" fontId="0" fillId="6" borderId="8" xfId="0" applyFill="1" applyBorder="1"/>
    <xf numFmtId="0" fontId="0" fillId="6" borderId="9" xfId="0" applyFill="1" applyBorder="1"/>
    <xf numFmtId="164" fontId="0" fillId="4" borderId="0" xfId="1" applyNumberFormat="1" applyFont="1" applyFill="1" applyBorder="1" applyProtection="1">
      <protection locked="0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4" fontId="2" fillId="6" borderId="0" xfId="1" applyNumberFormat="1" applyFont="1" applyFill="1" applyBorder="1" applyProtection="1">
      <protection locked="0"/>
    </xf>
    <xf numFmtId="164" fontId="2" fillId="6" borderId="3" xfId="1" applyNumberFormat="1" applyFont="1" applyFill="1" applyBorder="1" applyProtection="1">
      <protection locked="0"/>
    </xf>
    <xf numFmtId="1" fontId="2" fillId="9" borderId="8" xfId="0" applyNumberFormat="1" applyFont="1" applyFill="1" applyBorder="1" applyAlignment="1">
      <alignment horizontal="center"/>
    </xf>
    <xf numFmtId="165" fontId="0" fillId="4" borderId="3" xfId="1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0" fontId="0" fillId="8" borderId="13" xfId="0" applyFill="1" applyBorder="1" applyAlignment="1">
      <alignment horizontal="left"/>
    </xf>
    <xf numFmtId="0" fontId="0" fillId="8" borderId="14" xfId="0" applyFill="1" applyBorder="1" applyAlignment="1">
      <alignment horizontal="left"/>
    </xf>
    <xf numFmtId="0" fontId="0" fillId="8" borderId="15" xfId="0" applyFill="1" applyBorder="1" applyAlignment="1">
      <alignment horizontal="left"/>
    </xf>
    <xf numFmtId="0" fontId="0" fillId="0" borderId="2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microsoft.com/office/2017/10/relationships/person" Target="persons/perso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15903</xdr:colOff>
      <xdr:row>0</xdr:row>
      <xdr:rowOff>23856</xdr:rowOff>
    </xdr:from>
    <xdr:ext cx="2158448" cy="53582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3" y="23856"/>
          <a:ext cx="2158448" cy="535821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suario invitado" id="{3A47D86B-0228-2D46-99ED-50FE9227B0A2}" userId="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9" dT="2021-06-16T12:52:48.48" personId="{3A47D86B-0228-2D46-99ED-50FE9227B0A2}" id="{6927FCD2-C961-874E-AD06-1463312BFDB1}">
    <text>10p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microsoft.com/office/2017/10/relationships/threadedComment" Target="../threadedComments/threadedComment1.x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workbookViewId="0">
      <selection activeCell="C44" sqref="C44"/>
    </sheetView>
  </sheetViews>
  <sheetFormatPr defaultColWidth="11.43359375" defaultRowHeight="15" x14ac:dyDescent="0.2"/>
  <cols>
    <col min="1" max="1" width="20.17578125" bestFit="1" customWidth="1"/>
    <col min="2" max="2" width="15.19921875" customWidth="1"/>
    <col min="3" max="3" width="75.0625" customWidth="1"/>
    <col min="4" max="4" width="16.140625" bestFit="1" customWidth="1"/>
    <col min="5" max="5" width="28.65234375" bestFit="1" customWidth="1"/>
    <col min="7" max="7" width="25.01953125" customWidth="1"/>
    <col min="8" max="8" width="11.703125" bestFit="1" customWidth="1"/>
    <col min="9" max="9" width="17.08203125" bestFit="1" customWidth="1"/>
    <col min="10" max="10" width="17.21875" bestFit="1" customWidth="1"/>
    <col min="11" max="11" width="18.6953125" bestFit="1" customWidth="1"/>
    <col min="12" max="12" width="29.86328125" bestFit="1" customWidth="1"/>
    <col min="13" max="13" width="22.59765625" bestFit="1" customWidth="1"/>
  </cols>
  <sheetData>
    <row r="1" spans="1:13" ht="20.25" x14ac:dyDescent="0.25">
      <c r="C1" s="1" t="s">
        <v>0</v>
      </c>
    </row>
    <row r="2" spans="1:13" x14ac:dyDescent="0.2">
      <c r="C2" s="2" t="s">
        <v>1</v>
      </c>
      <c r="G2" s="53" t="s">
        <v>2</v>
      </c>
      <c r="H2" s="3" t="s">
        <v>3</v>
      </c>
      <c r="I2" s="3" t="s">
        <v>4</v>
      </c>
      <c r="J2" s="3" t="s">
        <v>5</v>
      </c>
      <c r="K2" s="46" t="s">
        <v>6</v>
      </c>
    </row>
    <row r="3" spans="1:13" x14ac:dyDescent="0.2">
      <c r="C3" s="2" t="s">
        <v>7</v>
      </c>
      <c r="G3" s="8" t="s">
        <v>8</v>
      </c>
      <c r="H3" s="13">
        <f>+B32</f>
        <v>21.296660117878194</v>
      </c>
      <c r="I3" s="52">
        <v>10</v>
      </c>
      <c r="J3" s="52">
        <v>80</v>
      </c>
      <c r="K3" s="52">
        <v>50</v>
      </c>
      <c r="L3" s="63" t="s">
        <v>9</v>
      </c>
    </row>
    <row r="4" spans="1:13" x14ac:dyDescent="0.2">
      <c r="G4" s="20" t="s">
        <v>10</v>
      </c>
      <c r="H4" s="21">
        <f>+H3/$B$7</f>
        <v>1.3310412573673871</v>
      </c>
      <c r="I4" s="21">
        <f>+I3/$B$7</f>
        <v>0.625</v>
      </c>
      <c r="J4" s="21">
        <f>+J3/$B$7</f>
        <v>5</v>
      </c>
      <c r="K4" s="50">
        <f>+K3/$B$7</f>
        <v>3.125</v>
      </c>
    </row>
    <row r="5" spans="1:13" x14ac:dyDescent="0.2">
      <c r="G5" s="20" t="s">
        <v>11</v>
      </c>
      <c r="H5" s="21">
        <f t="shared" ref="H5:J5" si="0">+H4/$B$6</f>
        <v>6.050187533488123E-2</v>
      </c>
      <c r="I5" s="21">
        <f t="shared" si="0"/>
        <v>2.8409090909090908E-2</v>
      </c>
      <c r="J5" s="21">
        <f t="shared" si="0"/>
        <v>0.22727272727272727</v>
      </c>
      <c r="K5" s="50">
        <f t="shared" ref="K5" si="1">+K4/$B$6</f>
        <v>0.14204545454545456</v>
      </c>
    </row>
    <row r="6" spans="1:13" x14ac:dyDescent="0.2">
      <c r="A6" s="4" t="s">
        <v>12</v>
      </c>
      <c r="B6" s="5">
        <v>22</v>
      </c>
      <c r="C6" s="6" t="s">
        <v>13</v>
      </c>
      <c r="D6" s="7"/>
      <c r="G6" s="8" t="s">
        <v>14</v>
      </c>
      <c r="H6" s="17">
        <f>+$B$28*H3</f>
        <v>27685.658153241653</v>
      </c>
      <c r="I6" s="17">
        <f>+$B$28*I3</f>
        <v>13000</v>
      </c>
      <c r="J6" s="17">
        <f>+$B$28*J3</f>
        <v>104000</v>
      </c>
      <c r="K6" s="48">
        <f>+$B$28*K3</f>
        <v>65000</v>
      </c>
    </row>
    <row r="7" spans="1:13" x14ac:dyDescent="0.2">
      <c r="A7" s="9"/>
      <c r="B7" s="10">
        <v>16</v>
      </c>
      <c r="C7" s="11" t="s">
        <v>15</v>
      </c>
      <c r="D7" s="12"/>
      <c r="G7" s="8" t="s">
        <v>12</v>
      </c>
      <c r="H7" s="16">
        <f t="shared" ref="H7:K7" si="2">+$B$16</f>
        <v>10840</v>
      </c>
      <c r="I7" s="16">
        <f t="shared" si="2"/>
        <v>10840</v>
      </c>
      <c r="J7" s="16">
        <f t="shared" si="2"/>
        <v>10840</v>
      </c>
      <c r="K7" s="47">
        <f t="shared" si="2"/>
        <v>10840</v>
      </c>
    </row>
    <row r="8" spans="1:13" x14ac:dyDescent="0.2">
      <c r="A8" s="9"/>
      <c r="B8" s="14">
        <f>1*D8*B7</f>
        <v>800</v>
      </c>
      <c r="C8" s="11" t="s">
        <v>16</v>
      </c>
      <c r="D8" s="15">
        <v>50</v>
      </c>
      <c r="G8" s="8" t="s">
        <v>17</v>
      </c>
      <c r="H8" s="17">
        <f>+$B$26*H3</f>
        <v>16845.658153241649</v>
      </c>
      <c r="I8" s="17">
        <f>+$B$26*I3</f>
        <v>7910</v>
      </c>
      <c r="J8" s="17">
        <f>+$B$26*J3</f>
        <v>63280</v>
      </c>
      <c r="K8" s="48">
        <f>+$B$26*K3</f>
        <v>39550</v>
      </c>
    </row>
    <row r="9" spans="1:13" x14ac:dyDescent="0.2">
      <c r="A9" s="9"/>
      <c r="B9" s="14">
        <f>4*D9*B7</f>
        <v>2240</v>
      </c>
      <c r="C9" s="11" t="s">
        <v>18</v>
      </c>
      <c r="D9" s="15">
        <v>35</v>
      </c>
      <c r="G9" s="8" t="s">
        <v>19</v>
      </c>
      <c r="H9" s="16">
        <f t="shared" ref="H9:J9" si="3">+H8+H7</f>
        <v>27685.658153241649</v>
      </c>
      <c r="I9" s="16">
        <f t="shared" si="3"/>
        <v>18750</v>
      </c>
      <c r="J9" s="16">
        <f t="shared" si="3"/>
        <v>74120</v>
      </c>
      <c r="K9" s="47">
        <f t="shared" ref="K9" si="4">+K8+K7</f>
        <v>50390</v>
      </c>
    </row>
    <row r="10" spans="1:13" x14ac:dyDescent="0.2">
      <c r="A10" s="9"/>
      <c r="B10" s="14">
        <f>(+B6-5)*D10*B7</f>
        <v>6800</v>
      </c>
      <c r="C10" s="11" t="s">
        <v>20</v>
      </c>
      <c r="D10" s="15">
        <v>25</v>
      </c>
      <c r="G10" s="8" t="s">
        <v>21</v>
      </c>
      <c r="H10" s="16">
        <f>+H6-H9</f>
        <v>0</v>
      </c>
      <c r="I10" s="16">
        <f>+I6-I9</f>
        <v>-5750</v>
      </c>
      <c r="J10" s="16">
        <f>+J6-J9</f>
        <v>29880</v>
      </c>
      <c r="K10" s="47">
        <f>+K6-K9</f>
        <v>14610</v>
      </c>
    </row>
    <row r="11" spans="1:13" x14ac:dyDescent="0.2">
      <c r="A11" s="9"/>
      <c r="B11" s="14">
        <f>+SUM(B8:B10)</f>
        <v>9840</v>
      </c>
      <c r="C11" s="11" t="s">
        <v>22</v>
      </c>
      <c r="D11" s="12"/>
      <c r="G11" s="8" t="s">
        <v>23</v>
      </c>
      <c r="H11" s="19">
        <f t="shared" ref="H11:J11" si="5">+IF(H10&gt;0,H10*0.05,0)</f>
        <v>0</v>
      </c>
      <c r="I11" s="19">
        <f t="shared" si="5"/>
        <v>0</v>
      </c>
      <c r="J11" s="19">
        <f t="shared" si="5"/>
        <v>1494</v>
      </c>
      <c r="K11" s="49">
        <f t="shared" ref="K11" si="6">+IF(K10&gt;0,K10*0.05,0)</f>
        <v>730.5</v>
      </c>
    </row>
    <row r="12" spans="1:13" x14ac:dyDescent="0.2">
      <c r="A12" s="9"/>
      <c r="B12" s="18">
        <v>0</v>
      </c>
      <c r="C12" s="11" t="s">
        <v>24</v>
      </c>
      <c r="D12" s="12"/>
      <c r="G12" s="8" t="s">
        <v>25</v>
      </c>
      <c r="H12" s="16">
        <f t="shared" ref="H12:J12" si="7">+H10-H11</f>
        <v>0</v>
      </c>
      <c r="I12" s="16">
        <f t="shared" si="7"/>
        <v>-5750</v>
      </c>
      <c r="J12" s="16">
        <f t="shared" si="7"/>
        <v>28386</v>
      </c>
      <c r="K12" s="47">
        <f t="shared" ref="K12" si="8">+K10-K11</f>
        <v>13879.5</v>
      </c>
    </row>
    <row r="13" spans="1:13" x14ac:dyDescent="0.2">
      <c r="A13" s="9"/>
      <c r="B13" s="18">
        <v>0</v>
      </c>
      <c r="C13" s="11" t="s">
        <v>26</v>
      </c>
      <c r="D13" s="12"/>
      <c r="E13" s="76"/>
      <c r="G13" s="8" t="s">
        <v>27</v>
      </c>
      <c r="H13" s="16">
        <f>+H12/($H$18+$H$19)+$H$23</f>
        <v>629.21950348276471</v>
      </c>
      <c r="I13" s="16">
        <f>+I12/($H$18+$H$19)+$H$23</f>
        <v>498.53768530094652</v>
      </c>
      <c r="J13" s="16">
        <f>+J12/($H$18+$H$19)+$H$23</f>
        <v>1274.3558671191283</v>
      </c>
      <c r="K13" s="47">
        <f>+K12/($H$18+$H$19)+$H$23</f>
        <v>944.66268530094658</v>
      </c>
    </row>
    <row r="14" spans="1:13" x14ac:dyDescent="0.2">
      <c r="A14" s="9"/>
      <c r="B14" s="18">
        <v>1000</v>
      </c>
      <c r="C14" s="11" t="s">
        <v>28</v>
      </c>
      <c r="D14" s="12"/>
      <c r="G14" s="8" t="s">
        <v>29</v>
      </c>
      <c r="H14" s="27">
        <f>(H13/$H$23)-1</f>
        <v>0</v>
      </c>
      <c r="I14" s="27">
        <f>(I13/$H$23)-1</f>
        <v>-0.20768875957990351</v>
      </c>
      <c r="J14" s="27">
        <f>(J13/$H$23)-1</f>
        <v>1.0252961964235028</v>
      </c>
      <c r="K14" s="51">
        <f t="shared" ref="K14" si="9">(K13/$H$23)-1</f>
        <v>0.50132454584161246</v>
      </c>
      <c r="L14" s="28"/>
    </row>
    <row r="15" spans="1:13" x14ac:dyDescent="0.2">
      <c r="A15" s="9"/>
      <c r="B15" s="18">
        <v>0</v>
      </c>
      <c r="C15" s="11" t="s">
        <v>30</v>
      </c>
      <c r="D15" s="12"/>
    </row>
    <row r="16" spans="1:13" x14ac:dyDescent="0.2">
      <c r="A16" s="22"/>
      <c r="B16" s="23">
        <f>+SUM(B11:B15)</f>
        <v>10840</v>
      </c>
      <c r="C16" s="24" t="s">
        <v>31</v>
      </c>
      <c r="D16" s="25"/>
      <c r="G16" t="s">
        <v>32</v>
      </c>
      <c r="J16" s="28"/>
      <c r="K16" s="28"/>
      <c r="L16" s="28"/>
      <c r="M16" s="28"/>
    </row>
    <row r="17" spans="1:8" x14ac:dyDescent="0.2">
      <c r="G17" s="32" t="s">
        <v>33</v>
      </c>
      <c r="H17" s="33">
        <f>+H3</f>
        <v>21.296660117878194</v>
      </c>
    </row>
    <row r="18" spans="1:8" x14ac:dyDescent="0.2">
      <c r="D18" t="s">
        <v>34</v>
      </c>
      <c r="E18" t="s">
        <v>35</v>
      </c>
      <c r="G18" s="32" t="s">
        <v>36</v>
      </c>
      <c r="H18" s="19">
        <f>+$B$6</f>
        <v>22</v>
      </c>
    </row>
    <row r="19" spans="1:8" x14ac:dyDescent="0.2">
      <c r="A19" s="26" t="s">
        <v>37</v>
      </c>
      <c r="B19" s="73">
        <f>IF(D19&gt;0.001,D19*E19,0)</f>
        <v>175</v>
      </c>
      <c r="C19" s="64" t="s">
        <v>38</v>
      </c>
      <c r="D19" s="75">
        <v>175</v>
      </c>
      <c r="E19" s="70">
        <v>1</v>
      </c>
      <c r="G19" s="32" t="s">
        <v>39</v>
      </c>
      <c r="H19" s="19">
        <f>+H18</f>
        <v>22</v>
      </c>
    </row>
    <row r="20" spans="1:8" x14ac:dyDescent="0.2">
      <c r="A20" s="29"/>
      <c r="B20" s="72">
        <f>IF(D20&gt;0.001,D20*E20,0)</f>
        <v>210</v>
      </c>
      <c r="C20" s="65" t="s">
        <v>40</v>
      </c>
      <c r="D20" s="69">
        <v>210</v>
      </c>
      <c r="E20" s="71">
        <v>1</v>
      </c>
      <c r="G20" s="32" t="s">
        <v>41</v>
      </c>
      <c r="H20" s="16">
        <f>+H8</f>
        <v>16845.658153241649</v>
      </c>
    </row>
    <row r="21" spans="1:8" x14ac:dyDescent="0.2">
      <c r="A21" s="29"/>
      <c r="B21" s="72">
        <f>IF(D21&gt;0.001,D21*E21,0)</f>
        <v>85</v>
      </c>
      <c r="C21" s="65" t="s">
        <v>42</v>
      </c>
      <c r="D21" s="69">
        <v>85</v>
      </c>
      <c r="E21" s="71">
        <v>1</v>
      </c>
      <c r="G21" s="32" t="s">
        <v>12</v>
      </c>
      <c r="H21" s="16">
        <f>+$B$16</f>
        <v>10840</v>
      </c>
    </row>
    <row r="22" spans="1:8" x14ac:dyDescent="0.2">
      <c r="A22" s="29"/>
      <c r="B22" s="72">
        <f>IF(D22&gt;0.001,D22*E22,0)</f>
        <v>100</v>
      </c>
      <c r="C22" s="65" t="s">
        <v>43</v>
      </c>
      <c r="D22" s="18">
        <v>100</v>
      </c>
      <c r="E22" s="71">
        <v>1</v>
      </c>
      <c r="G22" s="32" t="s">
        <v>44</v>
      </c>
      <c r="H22" s="16">
        <f>+H21+H20</f>
        <v>27685.658153241649</v>
      </c>
    </row>
    <row r="23" spans="1:8" x14ac:dyDescent="0.2">
      <c r="A23" s="29"/>
      <c r="B23" s="30">
        <v>0.1</v>
      </c>
      <c r="C23" s="65" t="s">
        <v>45</v>
      </c>
      <c r="D23" s="65"/>
      <c r="E23" s="31"/>
      <c r="G23" s="32" t="s">
        <v>46</v>
      </c>
      <c r="H23" s="17">
        <f>+H22/(H19+H18)</f>
        <v>629.21950348276471</v>
      </c>
    </row>
    <row r="24" spans="1:8" x14ac:dyDescent="0.2">
      <c r="A24" s="29"/>
      <c r="B24" s="30">
        <v>7.0000000000000007E-2</v>
      </c>
      <c r="C24" s="65" t="s">
        <v>47</v>
      </c>
      <c r="D24" s="65"/>
      <c r="E24" s="31"/>
    </row>
    <row r="25" spans="1:8" x14ac:dyDescent="0.2">
      <c r="A25" s="29"/>
      <c r="B25" s="18">
        <v>0</v>
      </c>
      <c r="C25" s="65" t="s">
        <v>48</v>
      </c>
      <c r="D25" s="65"/>
      <c r="E25" s="31"/>
      <c r="G25" t="s">
        <v>49</v>
      </c>
    </row>
    <row r="26" spans="1:8" x14ac:dyDescent="0.2">
      <c r="A26" s="34"/>
      <c r="B26" s="35">
        <f>+B19+(B28*B23)+(B24*B28)+B25+B20+B21+B22</f>
        <v>791</v>
      </c>
      <c r="C26" s="66" t="s">
        <v>37</v>
      </c>
      <c r="D26" s="67"/>
      <c r="E26" s="68"/>
      <c r="G26" t="s">
        <v>50</v>
      </c>
    </row>
    <row r="27" spans="1:8" x14ac:dyDescent="0.2">
      <c r="G27" t="s">
        <v>51</v>
      </c>
    </row>
    <row r="28" spans="1:8" x14ac:dyDescent="0.2">
      <c r="A28" s="36" t="s">
        <v>52</v>
      </c>
      <c r="B28" s="37">
        <v>1300</v>
      </c>
      <c r="C28" s="77" t="s">
        <v>53</v>
      </c>
      <c r="D28" s="78"/>
      <c r="E28" s="79"/>
      <c r="G28" t="s">
        <v>54</v>
      </c>
    </row>
    <row r="29" spans="1:8" x14ac:dyDescent="0.2">
      <c r="G29" t="s">
        <v>55</v>
      </c>
    </row>
    <row r="30" spans="1:8" x14ac:dyDescent="0.2">
      <c r="A30" s="38" t="s">
        <v>56</v>
      </c>
      <c r="B30" s="39">
        <f>+B16</f>
        <v>10840</v>
      </c>
      <c r="C30" s="40" t="s">
        <v>12</v>
      </c>
    </row>
    <row r="31" spans="1:8" x14ac:dyDescent="0.2">
      <c r="A31" s="41" t="s">
        <v>57</v>
      </c>
      <c r="B31" s="42">
        <f>+B28-B26</f>
        <v>509</v>
      </c>
      <c r="C31" s="43" t="s">
        <v>58</v>
      </c>
    </row>
    <row r="32" spans="1:8" x14ac:dyDescent="0.2">
      <c r="A32" s="44"/>
      <c r="B32" s="74">
        <f>+B30/B31</f>
        <v>21.296660117878194</v>
      </c>
      <c r="C32" s="45" t="s">
        <v>59</v>
      </c>
    </row>
    <row r="34" spans="1:1" x14ac:dyDescent="0.2">
      <c r="A34" t="s">
        <v>60</v>
      </c>
    </row>
    <row r="35" spans="1:1" x14ac:dyDescent="0.2">
      <c r="A35" t="s">
        <v>61</v>
      </c>
    </row>
    <row r="36" spans="1:1" x14ac:dyDescent="0.2">
      <c r="A36" t="s">
        <v>62</v>
      </c>
    </row>
    <row r="38" spans="1:1" x14ac:dyDescent="0.2">
      <c r="A38" t="s">
        <v>63</v>
      </c>
    </row>
  </sheetData>
  <mergeCells count="1">
    <mergeCell ref="C28:E28"/>
  </mergeCell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topLeftCell="B95" workbookViewId="0">
      <selection activeCell="C42" sqref="C42"/>
    </sheetView>
  </sheetViews>
  <sheetFormatPr defaultColWidth="11.43359375" defaultRowHeight="15" x14ac:dyDescent="0.2"/>
  <cols>
    <col min="2" max="2" width="18.0234375" customWidth="1"/>
    <col min="3" max="3" width="123.08984375" customWidth="1"/>
  </cols>
  <sheetData>
    <row r="1" spans="1:3" x14ac:dyDescent="0.2">
      <c r="A1" s="62"/>
      <c r="B1" s="60" t="s">
        <v>64</v>
      </c>
      <c r="C1" s="61" t="s">
        <v>65</v>
      </c>
    </row>
    <row r="2" spans="1:3" ht="41.25" x14ac:dyDescent="0.2">
      <c r="A2" s="80" t="s">
        <v>66</v>
      </c>
      <c r="B2" s="54" t="s">
        <v>67</v>
      </c>
      <c r="C2" s="55" t="s">
        <v>73</v>
      </c>
    </row>
    <row r="3" spans="1:3" ht="41.25" x14ac:dyDescent="0.2">
      <c r="A3" s="81"/>
      <c r="B3" s="58" t="s">
        <v>68</v>
      </c>
      <c r="C3" s="59" t="s">
        <v>74</v>
      </c>
    </row>
    <row r="4" spans="1:3" ht="68.25" x14ac:dyDescent="0.2">
      <c r="A4" s="82"/>
      <c r="B4" s="56" t="s">
        <v>69</v>
      </c>
      <c r="C4" s="57" t="s">
        <v>75</v>
      </c>
    </row>
    <row r="5" spans="1:3" ht="27.75" x14ac:dyDescent="0.2">
      <c r="A5" s="80" t="s">
        <v>32</v>
      </c>
      <c r="B5" s="54" t="s">
        <v>70</v>
      </c>
      <c r="C5" s="55" t="s">
        <v>76</v>
      </c>
    </row>
    <row r="6" spans="1:3" ht="41.25" x14ac:dyDescent="0.2">
      <c r="A6" s="81"/>
      <c r="B6" s="58" t="s">
        <v>71</v>
      </c>
      <c r="C6" s="59" t="s">
        <v>77</v>
      </c>
    </row>
    <row r="7" spans="1:3" ht="41.25" x14ac:dyDescent="0.2">
      <c r="A7" s="82"/>
      <c r="B7" s="56" t="s">
        <v>72</v>
      </c>
      <c r="C7" s="57" t="s">
        <v>78</v>
      </c>
    </row>
  </sheetData>
  <mergeCells count="2">
    <mergeCell ref="A2:A4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</vt:lpstr>
      <vt:lpstr>Justificación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pc</cp:lastModifiedBy>
  <cp:revision/>
  <dcterms:created xsi:type="dcterms:W3CDTF">2021-01-12T19:33:14Z</dcterms:created>
  <dcterms:modified xsi:type="dcterms:W3CDTF">2021-06-14T11:59:19Z</dcterms:modified>
  <cp:category/>
  <cp:contentStatus/>
</cp:coreProperties>
</file>