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fermo\Desktop\"/>
    </mc:Choice>
  </mc:AlternateContent>
  <xr:revisionPtr revIDLastSave="0" documentId="13_ncr:1_{725F9415-D552-4B81-A9C0-2737E1F77DBA}" xr6:coauthVersionLast="47" xr6:coauthVersionMax="47" xr10:uidLastSave="{00000000-0000-0000-0000-000000000000}"/>
  <bookViews>
    <workbookView xWindow="-120" yWindow="-120" windowWidth="20730" windowHeight="11160" activeTab="1" xr2:uid="{00000000-000D-0000-FFFF-FFFF00000000}"/>
  </bookViews>
  <sheets>
    <sheet name="Cálculo" sheetId="1" r:id="rId1"/>
    <sheet name="Justificación"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8" i="1"/>
  <c r="B20" i="1"/>
  <c r="B21" i="1"/>
  <c r="B22" i="1"/>
  <c r="B26" i="1"/>
  <c r="B31" i="1"/>
  <c r="K4" i="1"/>
  <c r="K5" i="1"/>
  <c r="K6" i="1"/>
  <c r="H18" i="1"/>
  <c r="H19" i="1"/>
  <c r="B10" i="1"/>
  <c r="B9" i="1"/>
  <c r="B11" i="1"/>
  <c r="B16" i="1"/>
  <c r="I7" i="1"/>
  <c r="K8" i="1"/>
  <c r="J7" i="1"/>
  <c r="B30" i="1"/>
  <c r="B32" i="1"/>
  <c r="H3" i="1"/>
  <c r="K7" i="1"/>
  <c r="K9" i="1"/>
  <c r="K10" i="1"/>
  <c r="K11" i="1"/>
  <c r="K12" i="1"/>
  <c r="H7" i="1"/>
  <c r="H21" i="1"/>
  <c r="I8" i="1"/>
  <c r="I9" i="1"/>
  <c r="H17" i="1"/>
  <c r="H8" i="1"/>
  <c r="H20" i="1"/>
  <c r="H22" i="1"/>
  <c r="H23" i="1"/>
  <c r="K13" i="1"/>
  <c r="K14" i="1"/>
  <c r="H4" i="1"/>
  <c r="H5" i="1"/>
  <c r="J6" i="1"/>
  <c r="H6" i="1"/>
  <c r="I4" i="1"/>
  <c r="I5" i="1"/>
  <c r="I6" i="1"/>
  <c r="I10" i="1"/>
  <c r="J8" i="1"/>
  <c r="J9" i="1"/>
  <c r="J10" i="1"/>
  <c r="J11" i="1"/>
  <c r="J12" i="1"/>
  <c r="J13" i="1"/>
  <c r="J14" i="1"/>
  <c r="J4" i="1"/>
  <c r="J5" i="1"/>
  <c r="H9" i="1"/>
  <c r="H10" i="1"/>
  <c r="H11" i="1"/>
  <c r="H12" i="1"/>
  <c r="H13" i="1"/>
  <c r="H14" i="1"/>
  <c r="I11" i="1"/>
  <c r="I12" i="1"/>
  <c r="I13" i="1"/>
  <c r="I14" i="1"/>
</calcChain>
</file>

<file path=xl/sharedStrings.xml><?xml version="1.0" encoding="utf-8"?>
<sst xmlns="http://schemas.openxmlformats.org/spreadsheetml/2006/main" count="84" uniqueCount="79">
  <si>
    <t>Proyección Financiera</t>
  </si>
  <si>
    <t>Las celdas en rojo no se editan ya que se calculan automáticamente</t>
  </si>
  <si>
    <t>Escenarios:</t>
  </si>
  <si>
    <t>Escenario PE</t>
  </si>
  <si>
    <t>Escenario Pesimista</t>
  </si>
  <si>
    <t>Escenario Optimista</t>
  </si>
  <si>
    <t>Escenario Proyectado</t>
  </si>
  <si>
    <t>Las celdas pintadas en verde son las que debés completar</t>
  </si>
  <si>
    <t>Unidades Objetivo</t>
  </si>
  <si>
    <t>Poner Q unidades de los escenarios</t>
  </si>
  <si>
    <t>Unidades/Módulo</t>
  </si>
  <si>
    <t>Unidades/Módulo/Persona</t>
  </si>
  <si>
    <t>Costos Fijos</t>
  </si>
  <si>
    <t>Estudiantes Totales</t>
  </si>
  <si>
    <t>Ingresos</t>
  </si>
  <si>
    <t>Módulos</t>
  </si>
  <si>
    <t>Sueldo Director General</t>
  </si>
  <si>
    <t>Costos Variables</t>
  </si>
  <si>
    <t>Sueldos Directores</t>
  </si>
  <si>
    <t>Costos Totales</t>
  </si>
  <si>
    <t>Salarios</t>
  </si>
  <si>
    <t>Ganancia antes de Impuestos</t>
  </si>
  <si>
    <t>Total Sueldos y Salarios</t>
  </si>
  <si>
    <t>Impuestos</t>
  </si>
  <si>
    <t>Stand ferias / Publicidad</t>
  </si>
  <si>
    <t>Resultado Proyectado</t>
  </si>
  <si>
    <t>Movilidad eventos extra áulicos del programa</t>
  </si>
  <si>
    <t>Valor de Acción Proyectada</t>
  </si>
  <si>
    <t>Herramientas</t>
  </si>
  <si>
    <t>Rentabilidad Proyectada</t>
  </si>
  <si>
    <t>Otros (impresiones, premios, etc.)</t>
  </si>
  <si>
    <t>Total Costos Fijos</t>
  </si>
  <si>
    <t>Capitalización:</t>
  </si>
  <si>
    <t>Objetivo = PE</t>
  </si>
  <si>
    <t>$ costo unitario</t>
  </si>
  <si>
    <t>Q a usar del insumo por producto</t>
  </si>
  <si>
    <t>Acciones Internas</t>
  </si>
  <si>
    <t>Costo Variable Unitario</t>
  </si>
  <si>
    <t>Acciones Externas</t>
  </si>
  <si>
    <t>Insumo 2: ………………. (costos de este insumo por unidad producida)</t>
  </si>
  <si>
    <t>Costos Variables (al PE)</t>
  </si>
  <si>
    <t>Insumo 3: ………………. (costos de este insumo por unidad producida)</t>
  </si>
  <si>
    <t>Insumo 4: …………….... (costos de este insumo por unidad producida)</t>
  </si>
  <si>
    <t>Total Capital Inicial (PE)</t>
  </si>
  <si>
    <t>Comisión por venta</t>
  </si>
  <si>
    <t>Valor de Acción</t>
  </si>
  <si>
    <t>Costos asociados a la cobranza de venta unitaria (Mercado Pago, Posnet, Tarjetas, etc.)</t>
  </si>
  <si>
    <t>Costos asociados a distribución y entrega unitaria</t>
  </si>
  <si>
    <t>Supuestos de este cálculo de desarrollo de capital inicial:</t>
  </si>
  <si>
    <t>cantidad de acciones emitidas = el doble que la cantidad de miembros de tu emprendimiento</t>
  </si>
  <si>
    <t>capital inicial = para cubrir el total de tus costos fijos + los costos variables hasta alcanzar PE (para después reinvertir para seguir produciendo)</t>
  </si>
  <si>
    <t>Precio</t>
  </si>
  <si>
    <t>No puede ser menor al costo variable unitario, debe contemplar margen para costos fijos + % de ganancia + riesgos</t>
  </si>
  <si>
    <t>*si querés, podés modificar cualquiera de estos supuestos</t>
  </si>
  <si>
    <t>**ver también el cálculo que se desprende en el SGME como sugerencia de valor de acción</t>
  </si>
  <si>
    <t>Punto de Equilibrio</t>
  </si>
  <si>
    <t>(Qe)</t>
  </si>
  <si>
    <t>Contribución Marginal Unitaria (Precio - CVU)</t>
  </si>
  <si>
    <t>Unidades (CF/CMU)</t>
  </si>
  <si>
    <t>Qe = cantidades en las mis Costos Totales son Iguales a mis Ingresos</t>
  </si>
  <si>
    <t>Por debajo de las Qe estaremos en zona de Pérdidas</t>
  </si>
  <si>
    <t xml:space="preserve">Por encima de las Qe estaremos en zona de Ganacias </t>
  </si>
  <si>
    <t>Si entendés que los márgenes de ganancias, los escenarios de producción y/o ventas no son los deseados, podés subir el precio, bajar los costos o aumentar tu objetivo de ventas</t>
  </si>
  <si>
    <t>Preguntas</t>
  </si>
  <si>
    <t>Respuestas</t>
  </si>
  <si>
    <t>Escenario objetivo:</t>
  </si>
  <si>
    <t>1- ¿Por qué elegiste ese objetivo de ventas/producción?</t>
  </si>
  <si>
    <t>2- ¿Cómo vas a hacer para alcanzar esas ventas?</t>
  </si>
  <si>
    <t>3- ¿Cómo vas a hacer para producir esa cantidad en el tiempo determinado?</t>
  </si>
  <si>
    <t>1- ¿Por qué elegiste ese capital incial?</t>
  </si>
  <si>
    <t>2- ¿Por qué elegiste vender esa cantidad de acciones?</t>
  </si>
  <si>
    <t>3- ¿En qué módulo/s del programa van a reinvertir y por qué?</t>
  </si>
  <si>
    <t>Insumo 1: Entradas (costos de este insumo por unidad producida)</t>
  </si>
  <si>
    <t>apuntamos a vender la mayor cantidad de inscripciones posibles en nuestros torneos, pensando en una duracion media de dos semanas, siendo que cada torneo tiene lugar para 16 equipos, calculamos la cantidad de 6 torneos de aquí al final del ejercicio, dando como resultado 96 inscripciones totales.</t>
  </si>
  <si>
    <t>en un primer momento vamos a inaugurar el emprendimiento con una Open League: un torneo gratuito con un premio bajo para darnos a conocer a nuestros clientes, y tras un gran trabajo de publicidad, conseguiremos al menos 8 equipos por torneo, dando como resultado 48 inscripciones, quedando por encima del punto de equilibrio</t>
  </si>
  <si>
    <t>al ser un servicio tan peculiar cabe destaar que no hay produccion alguna, solo intercambio de moneda en curso legal.</t>
  </si>
  <si>
    <t>creemos que es un numero que abarca todos los gastos del emprendimiento desde el inicio, dejandonos sin un riesgo de quiebra y con un margen de seguridad que puede ayudar a costear gastos imprevistos o inversiones mas grandes en publicidad, estando ahí la mayor "apuesta" de dinero.</t>
  </si>
  <si>
    <t>decidimos el numero de 25 acciones porque es un numero redondo, que puede alcanzarse relativamente facil y nos deja contar con ese pequeño margen en caso de un error de calculos en los gastos.</t>
  </si>
  <si>
    <t>la reinversion se encuentra en nuevos Open de otros videojuegos u otros torneos distintos, ademas de invertir en publicidad según el emprendimiento lo requiera, si los clientes muestran menos actividad en la comunidad, usaremos la publicidad para atraer nuevos clientes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</si>
</sst>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6"/>
      <color theme="9"/>
      <name val="Helvetica"/>
    </font>
    <font>
      <sz val="11"/>
      <color theme="9"/>
      <name val="Helvetica"/>
    </font>
    <font>
      <sz val="11"/>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3" fillId="0" borderId="0" xfId="0" applyFont="1" applyAlignment="1">
      <alignment horizontal="right"/>
    </xf>
    <xf numFmtId="0" fontId="4" fillId="0" borderId="0" xfId="0" applyFont="1" applyAlignment="1">
      <alignment horizontal="right"/>
    </xf>
    <xf numFmtId="0" fontId="0" fillId="2" borderId="1" xfId="0" applyFill="1" applyBorder="1" applyAlignment="1">
      <alignment horizontal="right"/>
    </xf>
    <xf numFmtId="0" fontId="0" fillId="3" borderId="2" xfId="0" applyFill="1" applyBorder="1"/>
    <xf numFmtId="0" fontId="0" fillId="4" borderId="3" xfId="0" applyFill="1" applyBorder="1" applyProtection="1">
      <protection locked="0"/>
    </xf>
    <xf numFmtId="0" fontId="0" fillId="3" borderId="3" xfId="0" applyFill="1" applyBorder="1"/>
    <xf numFmtId="0" fontId="0" fillId="3" borderId="4" xfId="0" applyFill="1" applyBorder="1"/>
    <xf numFmtId="0" fontId="0" fillId="5" borderId="1" xfId="0" applyFill="1" applyBorder="1"/>
    <xf numFmtId="0" fontId="0" fillId="3" borderId="5" xfId="0" applyFill="1" applyBorder="1"/>
    <xf numFmtId="0" fontId="0" fillId="4" borderId="0" xfId="0" applyFill="1" applyProtection="1">
      <protection locked="0"/>
    </xf>
    <xf numFmtId="0" fontId="0" fillId="3" borderId="0" xfId="0" applyFill="1"/>
    <xf numFmtId="0" fontId="0" fillId="3" borderId="6" xfId="0" applyFill="1" applyBorder="1"/>
    <xf numFmtId="1" fontId="2" fillId="5" borderId="1" xfId="0" applyNumberFormat="1" applyFont="1" applyFill="1" applyBorder="1"/>
    <xf numFmtId="165" fontId="2" fillId="3" borderId="0" xfId="1" applyNumberFormat="1" applyFont="1" applyFill="1" applyBorder="1" applyProtection="1"/>
    <xf numFmtId="165" fontId="0" fillId="4" borderId="6" xfId="1" applyNumberFormat="1" applyFont="1" applyFill="1" applyBorder="1" applyProtection="1">
      <protection locked="0"/>
    </xf>
    <xf numFmtId="165" fontId="2" fillId="0" borderId="1" xfId="0" applyNumberFormat="1" applyFont="1" applyBorder="1"/>
    <xf numFmtId="165" fontId="2" fillId="0" borderId="1" xfId="1" applyNumberFormat="1" applyFont="1" applyBorder="1" applyProtection="1"/>
    <xf numFmtId="165" fontId="0" fillId="4" borderId="0" xfId="1" applyNumberFormat="1" applyFont="1" applyFill="1" applyBorder="1" applyProtection="1">
      <protection locked="0"/>
    </xf>
    <xf numFmtId="0" fontId="2" fillId="0" borderId="1" xfId="0" applyFont="1" applyBorder="1"/>
    <xf numFmtId="2" fontId="0" fillId="5" borderId="1" xfId="0" applyNumberFormat="1" applyFill="1" applyBorder="1"/>
    <xf numFmtId="2" fontId="2" fillId="0" borderId="1" xfId="0" applyNumberFormat="1" applyFont="1" applyBorder="1"/>
    <xf numFmtId="0" fontId="0" fillId="3" borderId="7" xfId="0" applyFill="1" applyBorder="1"/>
    <xf numFmtId="165" fontId="2" fillId="3" borderId="8" xfId="1" applyNumberFormat="1" applyFont="1" applyFill="1" applyBorder="1" applyProtection="1"/>
    <xf numFmtId="0" fontId="0" fillId="3" borderId="8" xfId="0" applyFill="1" applyBorder="1"/>
    <xf numFmtId="0" fontId="0" fillId="3" borderId="9" xfId="0" applyFill="1" applyBorder="1"/>
    <xf numFmtId="0" fontId="0" fillId="6" borderId="2" xfId="0" applyFill="1" applyBorder="1"/>
    <xf numFmtId="165" fontId="0" fillId="4" borderId="3" xfId="1" applyNumberFormat="1" applyFont="1" applyFill="1" applyBorder="1" applyProtection="1">
      <protection locked="0"/>
    </xf>
    <xf numFmtId="9" fontId="2" fillId="0" borderId="1" xfId="2" applyFont="1" applyBorder="1" applyProtection="1"/>
    <xf numFmtId="9" fontId="0" fillId="0" borderId="0" xfId="2" applyFont="1" applyProtection="1"/>
    <xf numFmtId="0" fontId="0" fillId="6" borderId="5" xfId="0" applyFill="1" applyBorder="1"/>
    <xf numFmtId="9" fontId="0" fillId="4" borderId="0" xfId="2" applyFont="1" applyFill="1" applyBorder="1" applyProtection="1">
      <protection locked="0"/>
    </xf>
    <xf numFmtId="0" fontId="0" fillId="6" borderId="6" xfId="0" applyFill="1" applyBorder="1"/>
    <xf numFmtId="0" fontId="0" fillId="7" borderId="1" xfId="0" applyFill="1" applyBorder="1"/>
    <xf numFmtId="1" fontId="2" fillId="0" borderId="1" xfId="0" applyNumberFormat="1" applyFont="1" applyBorder="1"/>
    <xf numFmtId="0" fontId="0" fillId="6" borderId="7" xfId="0" applyFill="1" applyBorder="1"/>
    <xf numFmtId="165" fontId="2" fillId="6" borderId="8" xfId="1" applyNumberFormat="1" applyFont="1" applyFill="1" applyBorder="1" applyProtection="1"/>
    <xf numFmtId="0" fontId="0" fillId="8" borderId="10" xfId="0" applyFill="1" applyBorder="1"/>
    <xf numFmtId="165" fontId="0" fillId="4" borderId="11" xfId="1" applyNumberFormat="1" applyFont="1" applyFill="1" applyBorder="1" applyProtection="1">
      <protection locked="0"/>
    </xf>
    <xf numFmtId="0" fontId="0" fillId="9" borderId="2" xfId="0" applyFill="1" applyBorder="1"/>
    <xf numFmtId="165" fontId="2" fillId="9" borderId="11" xfId="0" applyNumberFormat="1" applyFont="1" applyFill="1" applyBorder="1"/>
    <xf numFmtId="0" fontId="0" fillId="9" borderId="12" xfId="0" applyFill="1" applyBorder="1" applyAlignment="1">
      <alignment horizontal="left"/>
    </xf>
    <xf numFmtId="0" fontId="0" fillId="9" borderId="5" xfId="0" applyFill="1" applyBorder="1"/>
    <xf numFmtId="165" fontId="2" fillId="9" borderId="0" xfId="0" applyNumberFormat="1" applyFont="1" applyFill="1"/>
    <xf numFmtId="0" fontId="0" fillId="9" borderId="6" xfId="0" applyFill="1" applyBorder="1" applyAlignment="1">
      <alignment horizontal="left"/>
    </xf>
    <xf numFmtId="0" fontId="0" fillId="9" borderId="7" xfId="0" applyFill="1" applyBorder="1"/>
    <xf numFmtId="0" fontId="0" fillId="9" borderId="9" xfId="0" applyFill="1" applyBorder="1"/>
    <xf numFmtId="0" fontId="0" fillId="10" borderId="1" xfId="0" applyFill="1" applyBorder="1" applyAlignment="1">
      <alignment horizontal="right"/>
    </xf>
    <xf numFmtId="165" fontId="2" fillId="10" borderId="1" xfId="0" applyNumberFormat="1" applyFont="1" applyFill="1" applyBorder="1"/>
    <xf numFmtId="165" fontId="2" fillId="10" borderId="1" xfId="1" applyNumberFormat="1" applyFont="1" applyFill="1" applyBorder="1" applyProtection="1"/>
    <xf numFmtId="0" fontId="2" fillId="10" borderId="1" xfId="0" applyFont="1" applyFill="1" applyBorder="1"/>
    <xf numFmtId="2" fontId="2" fillId="10" borderId="1" xfId="0" applyNumberFormat="1" applyFont="1" applyFill="1" applyBorder="1"/>
    <xf numFmtId="9" fontId="2" fillId="10" borderId="1" xfId="2" applyFont="1" applyFill="1" applyBorder="1" applyProtection="1"/>
    <xf numFmtId="1" fontId="5" fillId="11" borderId="1" xfId="0" applyNumberFormat="1" applyFont="1" applyFill="1" applyBorder="1"/>
    <xf numFmtId="0" fontId="0" fillId="2" borderId="1" xfId="0" applyFill="1" applyBorder="1" applyAlignment="1">
      <alignment horizontal="left"/>
    </xf>
    <xf numFmtId="0" fontId="0" fillId="0" borderId="3" xfId="0" applyBorder="1" applyAlignment="1">
      <alignment wrapText="1"/>
    </xf>
    <xf numFmtId="0" fontId="0" fillId="0" borderId="8" xfId="0" applyBorder="1" applyAlignment="1">
      <alignment wrapText="1"/>
    </xf>
    <xf numFmtId="0" fontId="0" fillId="0" borderId="0" xfId="0" applyAlignment="1">
      <alignment wrapText="1"/>
    </xf>
    <xf numFmtId="0" fontId="0" fillId="0" borderId="11" xfId="0" applyBorder="1"/>
    <xf numFmtId="0" fontId="0" fillId="0" borderId="12" xfId="0" applyBorder="1"/>
    <xf numFmtId="0" fontId="0" fillId="2" borderId="10" xfId="0" applyFill="1" applyBorder="1"/>
    <xf numFmtId="0" fontId="0" fillId="11" borderId="0" xfId="0" applyFill="1"/>
    <xf numFmtId="0" fontId="0" fillId="6" borderId="3" xfId="0" applyFill="1" applyBorder="1"/>
    <xf numFmtId="0" fontId="0" fillId="6" borderId="0" xfId="0" applyFill="1"/>
    <xf numFmtId="0" fontId="0" fillId="6" borderId="8" xfId="0" applyFill="1" applyBorder="1" applyAlignment="1">
      <alignment horizontal="left"/>
    </xf>
    <xf numFmtId="0" fontId="0" fillId="6" borderId="8" xfId="0" applyFill="1" applyBorder="1"/>
    <xf numFmtId="0" fontId="0" fillId="6" borderId="9" xfId="0" applyFill="1" applyBorder="1"/>
    <xf numFmtId="164" fontId="0" fillId="4" borderId="0" xfId="1" applyNumberFormat="1" applyFont="1" applyFill="1" applyBorder="1" applyProtection="1">
      <protection locked="0"/>
    </xf>
    <xf numFmtId="0" fontId="0" fillId="4" borderId="4" xfId="0" applyFill="1" applyBorder="1" applyAlignment="1">
      <alignment horizontal="center"/>
    </xf>
    <xf numFmtId="0" fontId="0" fillId="4" borderId="6" xfId="0" applyFill="1" applyBorder="1" applyAlignment="1">
      <alignment horizontal="center"/>
    </xf>
    <xf numFmtId="164" fontId="2" fillId="6" borderId="0" xfId="1" applyNumberFormat="1" applyFont="1" applyFill="1" applyBorder="1" applyProtection="1">
      <protection locked="0"/>
    </xf>
    <xf numFmtId="164" fontId="2" fillId="6" borderId="3" xfId="1" applyNumberFormat="1" applyFont="1" applyFill="1" applyBorder="1" applyProtection="1">
      <protection locked="0"/>
    </xf>
    <xf numFmtId="1" fontId="2" fillId="9" borderId="8" xfId="0" applyNumberFormat="1" applyFont="1" applyFill="1" applyBorder="1" applyAlignment="1">
      <alignment horizontal="center"/>
    </xf>
    <xf numFmtId="0" fontId="0" fillId="8" borderId="13" xfId="0" applyFill="1" applyBorder="1" applyAlignment="1">
      <alignment horizontal="left"/>
    </xf>
    <xf numFmtId="0" fontId="0" fillId="8" borderId="14" xfId="0" applyFill="1" applyBorder="1" applyAlignment="1">
      <alignment horizontal="left"/>
    </xf>
    <xf numFmtId="0" fontId="0" fillId="8" borderId="15" xfId="0" applyFill="1" applyBorder="1" applyAlignment="1">
      <alignment horizontal="left"/>
    </xf>
    <xf numFmtId="0" fontId="0" fillId="0" borderId="2" xfId="0" applyBorder="1" applyAlignment="1">
      <alignment horizontal="center" vertical="center" textRotation="90"/>
    </xf>
    <xf numFmtId="0" fontId="0" fillId="0" borderId="5" xfId="0" applyBorder="1" applyAlignment="1">
      <alignment horizontal="center" vertical="center" textRotation="90"/>
    </xf>
    <xf numFmtId="0" fontId="0" fillId="0" borderId="7" xfId="0" applyBorder="1" applyAlignment="1">
      <alignment horizontal="center" vertical="center" textRotation="90"/>
    </xf>
    <xf numFmtId="0" fontId="0" fillId="0" borderId="4" xfId="0" applyBorder="1" applyAlignment="1">
      <alignment horizontal="left" vertical="top" wrapText="1"/>
    </xf>
    <xf numFmtId="0" fontId="0" fillId="0" borderId="6" xfId="0" applyBorder="1" applyAlignment="1">
      <alignment vertical="top" wrapText="1"/>
    </xf>
    <xf numFmtId="0" fontId="0" fillId="0" borderId="6" xfId="0" applyBorder="1" applyAlignment="1">
      <alignment horizontal="left" vertical="top" wrapText="1"/>
    </xf>
    <xf numFmtId="0" fontId="0" fillId="0" borderId="9" xfId="0" applyBorder="1" applyAlignment="1">
      <alignment horizontal="left" vertical="top" wrapText="1"/>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15903</xdr:colOff>
      <xdr:row>0</xdr:row>
      <xdr:rowOff>23856</xdr:rowOff>
    </xdr:from>
    <xdr:ext cx="2158448" cy="535821"/>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3" y="23856"/>
          <a:ext cx="2158448" cy="53582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opLeftCell="E7" workbookViewId="0">
      <selection activeCell="K3" sqref="K3"/>
    </sheetView>
  </sheetViews>
  <sheetFormatPr baseColWidth="10" defaultColWidth="11.42578125" defaultRowHeight="15" x14ac:dyDescent="0.25"/>
  <cols>
    <col min="1" max="1" width="20.140625" bestFit="1" customWidth="1"/>
    <col min="2" max="2" width="15.140625" customWidth="1"/>
    <col min="3" max="3" width="75" customWidth="1"/>
    <col min="4" max="4" width="16.140625" bestFit="1" customWidth="1"/>
    <col min="5" max="5" width="28.7109375" bestFit="1" customWidth="1"/>
    <col min="7" max="7" width="25" customWidth="1"/>
    <col min="8" max="8" width="11.7109375" bestFit="1" customWidth="1"/>
    <col min="9" max="9" width="17.140625" bestFit="1" customWidth="1"/>
    <col min="10" max="10" width="17.28515625" bestFit="1" customWidth="1"/>
    <col min="11" max="11" width="18.7109375" bestFit="1" customWidth="1"/>
    <col min="12" max="12" width="29.85546875" bestFit="1" customWidth="1"/>
    <col min="13" max="13" width="22.5703125" bestFit="1" customWidth="1"/>
  </cols>
  <sheetData>
    <row r="1" spans="1:13" ht="20.25" x14ac:dyDescent="0.3">
      <c r="C1" s="1" t="s">
        <v>0</v>
      </c>
    </row>
    <row r="2" spans="1:13" x14ac:dyDescent="0.25">
      <c r="C2" s="2" t="s">
        <v>1</v>
      </c>
      <c r="G2" s="54" t="s">
        <v>2</v>
      </c>
      <c r="H2" s="3" t="s">
        <v>3</v>
      </c>
      <c r="I2" s="3" t="s">
        <v>4</v>
      </c>
      <c r="J2" s="3" t="s">
        <v>5</v>
      </c>
      <c r="K2" s="47" t="s">
        <v>6</v>
      </c>
    </row>
    <row r="3" spans="1:13" x14ac:dyDescent="0.25">
      <c r="C3" s="2" t="s">
        <v>7</v>
      </c>
      <c r="G3" s="8" t="s">
        <v>8</v>
      </c>
      <c r="H3" s="13">
        <f>+B32</f>
        <v>36.053333333333335</v>
      </c>
      <c r="I3" s="53">
        <v>0</v>
      </c>
      <c r="J3" s="53">
        <v>192</v>
      </c>
      <c r="K3" s="53">
        <v>96</v>
      </c>
      <c r="L3" s="61" t="s">
        <v>9</v>
      </c>
    </row>
    <row r="4" spans="1:13" x14ac:dyDescent="0.25">
      <c r="G4" s="20" t="s">
        <v>10</v>
      </c>
      <c r="H4" s="21">
        <f>+H3/$B$7</f>
        <v>2.2533333333333334</v>
      </c>
      <c r="I4" s="21">
        <f>+I3/$B$7</f>
        <v>0</v>
      </c>
      <c r="J4" s="21">
        <f>+J3/$B$7</f>
        <v>12</v>
      </c>
      <c r="K4" s="51">
        <f>+K3/$B$7</f>
        <v>6</v>
      </c>
    </row>
    <row r="5" spans="1:13" x14ac:dyDescent="0.25">
      <c r="G5" s="20" t="s">
        <v>11</v>
      </c>
      <c r="H5" s="21">
        <f t="shared" ref="H5:J5" si="0">+H4/$B$6</f>
        <v>0.1073015873015873</v>
      </c>
      <c r="I5" s="21">
        <f t="shared" si="0"/>
        <v>0</v>
      </c>
      <c r="J5" s="21">
        <f t="shared" si="0"/>
        <v>0.5714285714285714</v>
      </c>
      <c r="K5" s="51">
        <f t="shared" ref="K5" si="1">+K4/$B$6</f>
        <v>0.2857142857142857</v>
      </c>
    </row>
    <row r="6" spans="1:13" x14ac:dyDescent="0.25">
      <c r="A6" s="4" t="s">
        <v>12</v>
      </c>
      <c r="B6" s="5">
        <v>21</v>
      </c>
      <c r="C6" s="6" t="s">
        <v>13</v>
      </c>
      <c r="D6" s="7"/>
      <c r="G6" s="8" t="s">
        <v>14</v>
      </c>
      <c r="H6" s="17">
        <f>+$B$28*H3</f>
        <v>18026.666666666668</v>
      </c>
      <c r="I6" s="17">
        <f>+$B$28*I3</f>
        <v>0</v>
      </c>
      <c r="J6" s="17">
        <f>+$B$28*J3</f>
        <v>96000</v>
      </c>
      <c r="K6" s="49">
        <f>+$B$28*K3</f>
        <v>48000</v>
      </c>
    </row>
    <row r="7" spans="1:13" x14ac:dyDescent="0.25">
      <c r="A7" s="9"/>
      <c r="B7" s="10">
        <v>16</v>
      </c>
      <c r="C7" s="11" t="s">
        <v>15</v>
      </c>
      <c r="D7" s="12"/>
      <c r="G7" s="8" t="s">
        <v>12</v>
      </c>
      <c r="H7" s="16">
        <f t="shared" ref="H7:K7" si="2">+$B$16</f>
        <v>13520</v>
      </c>
      <c r="I7" s="16">
        <f t="shared" si="2"/>
        <v>13520</v>
      </c>
      <c r="J7" s="16">
        <f t="shared" si="2"/>
        <v>13520</v>
      </c>
      <c r="K7" s="48">
        <f t="shared" si="2"/>
        <v>13520</v>
      </c>
    </row>
    <row r="8" spans="1:13" x14ac:dyDescent="0.25">
      <c r="A8" s="9"/>
      <c r="B8" s="14">
        <f>1*D8*B7</f>
        <v>480</v>
      </c>
      <c r="C8" s="11" t="s">
        <v>16</v>
      </c>
      <c r="D8" s="15">
        <v>30</v>
      </c>
      <c r="G8" s="8" t="s">
        <v>17</v>
      </c>
      <c r="H8" s="17">
        <f>+$B$26*H3</f>
        <v>4506.666666666667</v>
      </c>
      <c r="I8" s="17">
        <f>+$B$26*I3</f>
        <v>0</v>
      </c>
      <c r="J8" s="17">
        <f>+$B$26*J3</f>
        <v>24000</v>
      </c>
      <c r="K8" s="49">
        <f>+$B$26*K3</f>
        <v>12000</v>
      </c>
    </row>
    <row r="9" spans="1:13" x14ac:dyDescent="0.25">
      <c r="A9" s="9"/>
      <c r="B9" s="14">
        <f>4*D9*B7</f>
        <v>1920</v>
      </c>
      <c r="C9" s="11" t="s">
        <v>18</v>
      </c>
      <c r="D9" s="15">
        <v>30</v>
      </c>
      <c r="G9" s="8" t="s">
        <v>19</v>
      </c>
      <c r="H9" s="16">
        <f t="shared" ref="H9:J9" si="3">+H8+H7</f>
        <v>18026.666666666668</v>
      </c>
      <c r="I9" s="16">
        <f t="shared" si="3"/>
        <v>13520</v>
      </c>
      <c r="J9" s="16">
        <f t="shared" si="3"/>
        <v>37520</v>
      </c>
      <c r="K9" s="48">
        <f t="shared" ref="K9" si="4">+K8+K7</f>
        <v>25520</v>
      </c>
    </row>
    <row r="10" spans="1:13" x14ac:dyDescent="0.25">
      <c r="A10" s="9"/>
      <c r="B10" s="14">
        <f>(+B6-5)*D10*B7</f>
        <v>7680</v>
      </c>
      <c r="C10" s="11" t="s">
        <v>20</v>
      </c>
      <c r="D10" s="15">
        <v>30</v>
      </c>
      <c r="G10" s="8" t="s">
        <v>21</v>
      </c>
      <c r="H10" s="16">
        <f>+H6-H9</f>
        <v>0</v>
      </c>
      <c r="I10" s="16">
        <f>+I6-I9</f>
        <v>-13520</v>
      </c>
      <c r="J10" s="16">
        <f>+J6-J9</f>
        <v>58480</v>
      </c>
      <c r="K10" s="48">
        <f>+K6-K9</f>
        <v>22480</v>
      </c>
    </row>
    <row r="11" spans="1:13" x14ac:dyDescent="0.25">
      <c r="A11" s="9"/>
      <c r="B11" s="14">
        <f>+SUM(B8:B10)</f>
        <v>10080</v>
      </c>
      <c r="C11" s="11" t="s">
        <v>22</v>
      </c>
      <c r="D11" s="12"/>
      <c r="G11" s="8" t="s">
        <v>23</v>
      </c>
      <c r="H11" s="19">
        <f t="shared" ref="H11:J11" si="5">+IF(H10&gt;0,H10*0.05,0)</f>
        <v>0</v>
      </c>
      <c r="I11" s="19">
        <f t="shared" si="5"/>
        <v>0</v>
      </c>
      <c r="J11" s="19">
        <f t="shared" si="5"/>
        <v>2924</v>
      </c>
      <c r="K11" s="50">
        <f t="shared" ref="K11" si="6">+IF(K10&gt;0,K10*0.05,0)</f>
        <v>1124</v>
      </c>
    </row>
    <row r="12" spans="1:13" x14ac:dyDescent="0.25">
      <c r="A12" s="9"/>
      <c r="B12" s="18">
        <v>3440</v>
      </c>
      <c r="C12" s="11" t="s">
        <v>24</v>
      </c>
      <c r="D12" s="12"/>
      <c r="G12" s="8" t="s">
        <v>25</v>
      </c>
      <c r="H12" s="16">
        <f t="shared" ref="H12:J12" si="7">+H10-H11</f>
        <v>0</v>
      </c>
      <c r="I12" s="16">
        <f t="shared" si="7"/>
        <v>-13520</v>
      </c>
      <c r="J12" s="16">
        <f t="shared" si="7"/>
        <v>55556</v>
      </c>
      <c r="K12" s="48">
        <f t="shared" ref="K12" si="8">+K10-K11</f>
        <v>21356</v>
      </c>
    </row>
    <row r="13" spans="1:13" x14ac:dyDescent="0.25">
      <c r="A13" s="9"/>
      <c r="B13" s="18">
        <v>0</v>
      </c>
      <c r="C13" s="11" t="s">
        <v>26</v>
      </c>
      <c r="D13" s="12"/>
      <c r="G13" s="8" t="s">
        <v>27</v>
      </c>
      <c r="H13" s="16">
        <f>+H12/($H$18+$H$19)+$H$23</f>
        <v>429.20634920634922</v>
      </c>
      <c r="I13" s="16">
        <f>+I12/($H$18+$H$19)+$H$23</f>
        <v>107.30158730158729</v>
      </c>
      <c r="J13" s="16">
        <f>+J12/($H$18+$H$19)+$H$23</f>
        <v>1751.968253968254</v>
      </c>
      <c r="K13" s="48">
        <f>+K12/($H$18+$H$19)+$H$23</f>
        <v>937.68253968253975</v>
      </c>
    </row>
    <row r="14" spans="1:13" x14ac:dyDescent="0.25">
      <c r="A14" s="9"/>
      <c r="B14" s="18">
        <v>0</v>
      </c>
      <c r="C14" s="11" t="s">
        <v>28</v>
      </c>
      <c r="D14" s="12"/>
      <c r="G14" s="8" t="s">
        <v>29</v>
      </c>
      <c r="H14" s="28">
        <f>(H13/$H$23)-1</f>
        <v>0</v>
      </c>
      <c r="I14" s="28">
        <f>(I13/$H$23)-1</f>
        <v>-0.75</v>
      </c>
      <c r="J14" s="28">
        <f>(J13/$H$23)-1</f>
        <v>3.0818786982248518</v>
      </c>
      <c r="K14" s="52">
        <f t="shared" ref="K14" si="9">(K13/$H$23)-1</f>
        <v>1.1846893491124262</v>
      </c>
      <c r="L14" s="29"/>
    </row>
    <row r="15" spans="1:13" x14ac:dyDescent="0.25">
      <c r="A15" s="9"/>
      <c r="B15" s="18"/>
      <c r="C15" s="11" t="s">
        <v>30</v>
      </c>
      <c r="D15" s="12"/>
    </row>
    <row r="16" spans="1:13" x14ac:dyDescent="0.25">
      <c r="A16" s="22"/>
      <c r="B16" s="23">
        <f>+SUM(B11:B15)</f>
        <v>13520</v>
      </c>
      <c r="C16" s="24" t="s">
        <v>31</v>
      </c>
      <c r="D16" s="25"/>
      <c r="G16" t="s">
        <v>32</v>
      </c>
      <c r="J16" s="29"/>
      <c r="K16" s="29"/>
      <c r="L16" s="29"/>
      <c r="M16" s="29"/>
    </row>
    <row r="17" spans="1:8" x14ac:dyDescent="0.25">
      <c r="G17" s="33" t="s">
        <v>33</v>
      </c>
      <c r="H17" s="34">
        <f>+H3</f>
        <v>36.053333333333335</v>
      </c>
    </row>
    <row r="18" spans="1:8" x14ac:dyDescent="0.25">
      <c r="D18" t="s">
        <v>34</v>
      </c>
      <c r="E18" t="s">
        <v>35</v>
      </c>
      <c r="G18" s="33" t="s">
        <v>36</v>
      </c>
      <c r="H18" s="19">
        <f>+$B$6</f>
        <v>21</v>
      </c>
    </row>
    <row r="19" spans="1:8" x14ac:dyDescent="0.25">
      <c r="A19" s="26" t="s">
        <v>37</v>
      </c>
      <c r="B19" s="71">
        <f>IF(D19&gt;0.001,D19*E19,0)</f>
        <v>125</v>
      </c>
      <c r="C19" s="62" t="s">
        <v>72</v>
      </c>
      <c r="D19" s="27">
        <v>125</v>
      </c>
      <c r="E19" s="68">
        <v>1</v>
      </c>
      <c r="G19" s="33" t="s">
        <v>38</v>
      </c>
      <c r="H19" s="19">
        <f>+H18</f>
        <v>21</v>
      </c>
    </row>
    <row r="20" spans="1:8" x14ac:dyDescent="0.25">
      <c r="A20" s="30"/>
      <c r="B20" s="70">
        <f>IF(D20&gt;0.001,D20*E20,0)</f>
        <v>0</v>
      </c>
      <c r="C20" s="63" t="s">
        <v>39</v>
      </c>
      <c r="D20" s="67">
        <v>0</v>
      </c>
      <c r="E20" s="69">
        <v>0</v>
      </c>
      <c r="G20" s="33" t="s">
        <v>40</v>
      </c>
      <c r="H20" s="16">
        <f>+H8</f>
        <v>4506.666666666667</v>
      </c>
    </row>
    <row r="21" spans="1:8" x14ac:dyDescent="0.25">
      <c r="A21" s="30"/>
      <c r="B21" s="70">
        <f>IF(D21&gt;0.001,D21*E21,0)</f>
        <v>0</v>
      </c>
      <c r="C21" s="63" t="s">
        <v>41</v>
      </c>
      <c r="D21" s="67">
        <v>0</v>
      </c>
      <c r="E21" s="69">
        <v>0</v>
      </c>
      <c r="G21" s="33" t="s">
        <v>12</v>
      </c>
      <c r="H21" s="16">
        <f>+$B$16</f>
        <v>13520</v>
      </c>
    </row>
    <row r="22" spans="1:8" x14ac:dyDescent="0.25">
      <c r="A22" s="30"/>
      <c r="B22" s="70">
        <f>IF(D22&gt;0.001,D22*E22,0)</f>
        <v>0</v>
      </c>
      <c r="C22" s="63" t="s">
        <v>42</v>
      </c>
      <c r="D22" s="18">
        <v>0</v>
      </c>
      <c r="E22" s="69">
        <v>0</v>
      </c>
      <c r="G22" s="33" t="s">
        <v>43</v>
      </c>
      <c r="H22" s="16">
        <f>+H21+H20</f>
        <v>18026.666666666668</v>
      </c>
    </row>
    <row r="23" spans="1:8" x14ac:dyDescent="0.25">
      <c r="A23" s="30"/>
      <c r="B23" s="31">
        <v>0</v>
      </c>
      <c r="C23" s="63" t="s">
        <v>44</v>
      </c>
      <c r="D23" s="63"/>
      <c r="E23" s="32"/>
      <c r="G23" s="33" t="s">
        <v>45</v>
      </c>
      <c r="H23" s="17">
        <f>+H22/(H19+H18)</f>
        <v>429.20634920634922</v>
      </c>
    </row>
    <row r="24" spans="1:8" x14ac:dyDescent="0.25">
      <c r="A24" s="30"/>
      <c r="B24" s="31">
        <v>0</v>
      </c>
      <c r="C24" s="63" t="s">
        <v>46</v>
      </c>
      <c r="D24" s="63"/>
      <c r="E24" s="32"/>
    </row>
    <row r="25" spans="1:8" x14ac:dyDescent="0.25">
      <c r="A25" s="30"/>
      <c r="B25" s="18">
        <v>0</v>
      </c>
      <c r="C25" s="63" t="s">
        <v>47</v>
      </c>
      <c r="D25" s="63"/>
      <c r="E25" s="32"/>
      <c r="G25" t="s">
        <v>48</v>
      </c>
    </row>
    <row r="26" spans="1:8" x14ac:dyDescent="0.25">
      <c r="A26" s="35"/>
      <c r="B26" s="36">
        <f>+B19+(B28*B23)+(B24*B28)+B25+B20+B21+B22</f>
        <v>125</v>
      </c>
      <c r="C26" s="64" t="s">
        <v>37</v>
      </c>
      <c r="D26" s="65"/>
      <c r="E26" s="66"/>
      <c r="G26" t="s">
        <v>49</v>
      </c>
    </row>
    <row r="27" spans="1:8" x14ac:dyDescent="0.25">
      <c r="G27" t="s">
        <v>50</v>
      </c>
    </row>
    <row r="28" spans="1:8" x14ac:dyDescent="0.25">
      <c r="A28" s="37" t="s">
        <v>51</v>
      </c>
      <c r="B28" s="38">
        <v>500</v>
      </c>
      <c r="C28" s="73" t="s">
        <v>52</v>
      </c>
      <c r="D28" s="74"/>
      <c r="E28" s="75"/>
      <c r="G28" t="s">
        <v>53</v>
      </c>
    </row>
    <row r="29" spans="1:8" x14ac:dyDescent="0.25">
      <c r="G29" t="s">
        <v>54</v>
      </c>
    </row>
    <row r="30" spans="1:8" x14ac:dyDescent="0.25">
      <c r="A30" s="39" t="s">
        <v>55</v>
      </c>
      <c r="B30" s="40">
        <f>+B16</f>
        <v>13520</v>
      </c>
      <c r="C30" s="41" t="s">
        <v>12</v>
      </c>
    </row>
    <row r="31" spans="1:8" x14ac:dyDescent="0.25">
      <c r="A31" s="42" t="s">
        <v>56</v>
      </c>
      <c r="B31" s="43">
        <f>+B28-B26</f>
        <v>375</v>
      </c>
      <c r="C31" s="44" t="s">
        <v>57</v>
      </c>
    </row>
    <row r="32" spans="1:8" x14ac:dyDescent="0.25">
      <c r="A32" s="45"/>
      <c r="B32" s="72">
        <f>+B30/B31</f>
        <v>36.053333333333335</v>
      </c>
      <c r="C32" s="46" t="s">
        <v>58</v>
      </c>
    </row>
    <row r="34" spans="1:1" x14ac:dyDescent="0.25">
      <c r="A34" t="s">
        <v>59</v>
      </c>
    </row>
    <row r="35" spans="1:1" x14ac:dyDescent="0.25">
      <c r="A35" t="s">
        <v>60</v>
      </c>
    </row>
    <row r="36" spans="1:1" x14ac:dyDescent="0.25">
      <c r="A36" t="s">
        <v>61</v>
      </c>
    </row>
    <row r="38" spans="1:1" x14ac:dyDescent="0.25">
      <c r="A38" t="s">
        <v>62</v>
      </c>
    </row>
  </sheetData>
  <mergeCells count="1">
    <mergeCell ref="C28:E28"/>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tabSelected="1" workbookViewId="0">
      <selection activeCell="C7" sqref="C7"/>
    </sheetView>
  </sheetViews>
  <sheetFormatPr baseColWidth="10" defaultColWidth="11.42578125" defaultRowHeight="15" x14ac:dyDescent="0.25"/>
  <cols>
    <col min="2" max="2" width="18" customWidth="1"/>
    <col min="3" max="3" width="123.140625" customWidth="1"/>
  </cols>
  <sheetData>
    <row r="1" spans="1:3" x14ac:dyDescent="0.25">
      <c r="A1" s="60"/>
      <c r="B1" s="58" t="s">
        <v>63</v>
      </c>
      <c r="C1" s="59" t="s">
        <v>64</v>
      </c>
    </row>
    <row r="2" spans="1:3" ht="75" x14ac:dyDescent="0.25">
      <c r="A2" s="76" t="s">
        <v>65</v>
      </c>
      <c r="B2" s="55" t="s">
        <v>66</v>
      </c>
      <c r="C2" s="79" t="s">
        <v>73</v>
      </c>
    </row>
    <row r="3" spans="1:3" ht="45" x14ac:dyDescent="0.25">
      <c r="A3" s="77"/>
      <c r="B3" s="57" t="s">
        <v>67</v>
      </c>
      <c r="C3" s="81" t="s">
        <v>74</v>
      </c>
    </row>
    <row r="4" spans="1:3" ht="90" x14ac:dyDescent="0.25">
      <c r="A4" s="78"/>
      <c r="B4" s="56" t="s">
        <v>68</v>
      </c>
      <c r="C4" s="82" t="s">
        <v>75</v>
      </c>
    </row>
    <row r="5" spans="1:3" ht="45" x14ac:dyDescent="0.25">
      <c r="A5" s="76" t="s">
        <v>32</v>
      </c>
      <c r="B5" s="55" t="s">
        <v>69</v>
      </c>
      <c r="C5" s="79" t="s">
        <v>76</v>
      </c>
    </row>
    <row r="6" spans="1:3" ht="60" x14ac:dyDescent="0.25">
      <c r="A6" s="77"/>
      <c r="B6" s="57" t="s">
        <v>70</v>
      </c>
      <c r="C6" s="80" t="s">
        <v>77</v>
      </c>
    </row>
    <row r="7" spans="1:3" ht="75" x14ac:dyDescent="0.25">
      <c r="A7" s="78"/>
      <c r="B7" s="56" t="s">
        <v>71</v>
      </c>
      <c r="C7" s="82" t="s">
        <v>78</v>
      </c>
    </row>
  </sheetData>
  <mergeCells count="2">
    <mergeCell ref="A2:A4"/>
    <mergeCell ref="A5:A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Cálculo</vt:lpstr>
      <vt:lpstr>Justificación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maria fernanda molina</cp:lastModifiedBy>
  <cp:revision/>
  <dcterms:created xsi:type="dcterms:W3CDTF">2021-01-12T19:33:14Z</dcterms:created>
  <dcterms:modified xsi:type="dcterms:W3CDTF">2021-06-23T02:51:56Z</dcterms:modified>
  <cp:category/>
  <cp:contentStatus/>
</cp:coreProperties>
</file>