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uarios\alumno\descargas\"/>
    </mc:Choice>
  </mc:AlternateContent>
  <bookViews>
    <workbookView xWindow="0" yWindow="0" windowWidth="20490" windowHeight="7050"/>
  </bookViews>
  <sheets>
    <sheet name="Cálculo" sheetId="1" r:id="rId1"/>
    <sheet name="Justificación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8" i="1" l="1"/>
  <c r="R8" i="1"/>
  <c r="Q7" i="1"/>
  <c r="R7" i="1"/>
  <c r="Q6" i="1"/>
  <c r="R6" i="1"/>
  <c r="Q5" i="1"/>
  <c r="O4" i="1"/>
  <c r="H18" i="1" l="1"/>
  <c r="H22" i="1"/>
  <c r="E32" i="1"/>
  <c r="B8" i="1" l="1"/>
  <c r="B9" i="1"/>
  <c r="K7" i="1"/>
  <c r="E15" i="1"/>
  <c r="B19" i="1"/>
  <c r="B20" i="1" l="1"/>
  <c r="B21" i="1"/>
  <c r="B22" i="1"/>
  <c r="K4" i="1" l="1"/>
  <c r="K5" i="1" s="1"/>
  <c r="H19" i="1" l="1"/>
  <c r="B10" i="1"/>
  <c r="B11" i="1" l="1"/>
  <c r="B16" i="1" s="1"/>
  <c r="I7" i="1" s="1"/>
  <c r="J7" i="1" l="1"/>
  <c r="B30" i="1"/>
  <c r="H7" i="1"/>
  <c r="H21" i="1"/>
  <c r="I4" i="1" l="1"/>
  <c r="I5" i="1" s="1"/>
  <c r="J4" i="1"/>
  <c r="J5" i="1" s="1"/>
  <c r="K6" i="1"/>
  <c r="J6" i="1"/>
  <c r="B26" i="1"/>
  <c r="I6" i="1"/>
  <c r="K8" i="1" l="1"/>
  <c r="B31" i="1"/>
  <c r="J8" i="1"/>
  <c r="J9" i="1" s="1"/>
  <c r="J10" i="1" s="1"/>
  <c r="J11" i="1" s="1"/>
  <c r="J12" i="1" s="1"/>
  <c r="B32" i="1"/>
  <c r="H3" i="1" s="1"/>
  <c r="I8" i="1"/>
  <c r="I9" i="1" s="1"/>
  <c r="I10" i="1" s="1"/>
  <c r="K10" i="1" l="1"/>
  <c r="K9" i="1"/>
  <c r="I11" i="1"/>
  <c r="I12" i="1" s="1"/>
  <c r="K11" i="1" l="1"/>
  <c r="K12" i="1" s="1"/>
  <c r="H4" i="1"/>
  <c r="H5" i="1" s="1"/>
  <c r="H17" i="1"/>
  <c r="H6" i="1"/>
  <c r="H8" i="1"/>
  <c r="H20" i="1" l="1"/>
  <c r="H23" i="1" s="1"/>
  <c r="H9" i="1"/>
  <c r="H10" i="1" s="1"/>
  <c r="H11" i="1" l="1"/>
  <c r="H12" i="1" s="1"/>
  <c r="H13" i="1" s="1"/>
  <c r="H14" i="1" s="1"/>
  <c r="J13" i="1"/>
  <c r="J14" i="1" s="1"/>
  <c r="I13" i="1"/>
  <c r="I14" i="1" s="1"/>
  <c r="K13" i="1"/>
  <c r="K14" i="1" s="1"/>
</calcChain>
</file>

<file path=xl/sharedStrings.xml><?xml version="1.0" encoding="utf-8"?>
<sst xmlns="http://schemas.openxmlformats.org/spreadsheetml/2006/main" count="94" uniqueCount="86">
  <si>
    <t>Proyección Financiera</t>
  </si>
  <si>
    <t>Las celdas en rojo no se editan ya que se calculan automáticamente</t>
  </si>
  <si>
    <t>Escenarios:</t>
  </si>
  <si>
    <t>Escenario PE</t>
  </si>
  <si>
    <t>Escenario Pesimista</t>
  </si>
  <si>
    <t>Escenario Optimista</t>
  </si>
  <si>
    <t>Escenario Proyectado</t>
  </si>
  <si>
    <t>Las celdas pintadas en verde son las que debés completar</t>
  </si>
  <si>
    <t>Unidades Objetivo</t>
  </si>
  <si>
    <t>Poner Q unidades de los escenarios</t>
  </si>
  <si>
    <t>Unidades/Módulo</t>
  </si>
  <si>
    <t>Unidades/Módulo/Persona</t>
  </si>
  <si>
    <t>Costos Fijos</t>
  </si>
  <si>
    <t>Estudiantes Totales</t>
  </si>
  <si>
    <t>Ingresos</t>
  </si>
  <si>
    <t>Módulos</t>
  </si>
  <si>
    <t>Sueldo Director General</t>
  </si>
  <si>
    <t>Costos Variables</t>
  </si>
  <si>
    <t>Sueldos Directores</t>
  </si>
  <si>
    <t>Costos Totales</t>
  </si>
  <si>
    <t>Salarios</t>
  </si>
  <si>
    <t>Ganancia antes de Impuestos</t>
  </si>
  <si>
    <t>Total Sueldos y Salarios</t>
  </si>
  <si>
    <t>Impuestos</t>
  </si>
  <si>
    <t>Stand ferias / Publicidad</t>
  </si>
  <si>
    <t>Resultado Proyectado</t>
  </si>
  <si>
    <t>Movilidad eventos extra áulicos del programa</t>
  </si>
  <si>
    <t>Valor de Acción Proyectada</t>
  </si>
  <si>
    <t>Herramientas</t>
  </si>
  <si>
    <t>Rentabilidad Proyectada</t>
  </si>
  <si>
    <t>Otros (impresiones, premios, etc.)</t>
  </si>
  <si>
    <t>Total Costos Fijos</t>
  </si>
  <si>
    <t>Capitalización:</t>
  </si>
  <si>
    <t>Objetivo = PE</t>
  </si>
  <si>
    <t>$ costo unitario</t>
  </si>
  <si>
    <t>Q a usar del insumo por producto</t>
  </si>
  <si>
    <t>Acciones Internas</t>
  </si>
  <si>
    <t>Costo Variable Unitario</t>
  </si>
  <si>
    <t>Acciones Externas</t>
  </si>
  <si>
    <t>Costos Variables (al PE)</t>
  </si>
  <si>
    <t>Total Capital Inicial (PE)</t>
  </si>
  <si>
    <t>Comisión por venta</t>
  </si>
  <si>
    <t>Valor de Acción</t>
  </si>
  <si>
    <t>Costos asociados a la cobranza de venta unitaria (Mercado Pago, Posnet, Tarjetas, etc.)</t>
  </si>
  <si>
    <t>Costos asociados a distribución y entrega unitaria</t>
  </si>
  <si>
    <t>Supuestos de este cálculo de desarrollo de capital inicial:</t>
  </si>
  <si>
    <t>cantidad de acciones emitidas = el doble que la cantidad de miembros de tu emprendimiento</t>
  </si>
  <si>
    <t>capital inicial = para cubrir el total de tus costos fijos + los costos variables hasta alcanzar PE (para después reinvertir para seguir produciendo)</t>
  </si>
  <si>
    <t>Precio</t>
  </si>
  <si>
    <t>No puede ser menor al costo variable unitario, debe contemplar margen para costos fijos + % de ganancia + riesgos</t>
  </si>
  <si>
    <t>*si querés, podés modificar cualquiera de estos supuestos</t>
  </si>
  <si>
    <t>**ver también el cálculo que se desprende en el SGME como sugerencia de valor de acción</t>
  </si>
  <si>
    <t>Punto de Equilibrio</t>
  </si>
  <si>
    <t>(Qe)</t>
  </si>
  <si>
    <t>Contribución Marginal Unitaria (Precio - CVU)</t>
  </si>
  <si>
    <t>Unidades (CF/CMU)</t>
  </si>
  <si>
    <t>Qe = cantidades en las mis Costos Totales son Iguales a mis Ingresos</t>
  </si>
  <si>
    <t>Por debajo de las Qe estaremos en zona de Pérdidas</t>
  </si>
  <si>
    <t xml:space="preserve">Por encima de las Qe estaremos en zona de Ganacias </t>
  </si>
  <si>
    <t>Si entendés que los márgenes de ganancias, los escenarios de producción y/o ventas no son los deseados, podés subir el precio, bajar los costos o aumentar tu objetivo de ventas</t>
  </si>
  <si>
    <t>Preguntas</t>
  </si>
  <si>
    <t>Respuestas</t>
  </si>
  <si>
    <t>Escenario objetivo:</t>
  </si>
  <si>
    <t>1- ¿Por qué elegiste ese objetivo de ventas/producción?</t>
  </si>
  <si>
    <t>2- ¿Cómo vas a hacer para alcanzar esas ventas?</t>
  </si>
  <si>
    <t>3- ¿Cómo vas a hacer para producir esa cantidad en el tiempo determinado?</t>
  </si>
  <si>
    <t>1- ¿Por qué elegiste ese capital incial?</t>
  </si>
  <si>
    <t>2- ¿Por qué elegiste vender esa cantidad de acciones?</t>
  </si>
  <si>
    <t>3- ¿En qué módulo/s del programa van a reinvertir y por qué?</t>
  </si>
  <si>
    <t>Insumo 1: tierra negra (costos de este insumo por unidad producida)</t>
  </si>
  <si>
    <t>Insumo 3: agua (costos de este insumo por unidad producida)</t>
  </si>
  <si>
    <t>Insumo 2: restos de reciduos organicos y hojas secas (costos de este insumo por unidad producida)</t>
  </si>
  <si>
    <t>Insumo 4: packaging (costos de este insumo por unidad producida)</t>
  </si>
  <si>
    <t xml:space="preserve"> Elegimos ese objetivo de ventas/producción porque serian un objetivo justo para que no nos sobre mucha cantidad de compost producida y tampoco que nos falte producción a la hora de venta. </t>
  </si>
  <si>
    <t xml:space="preserve"> Para alcanzar esas ventas vamos a tener ayuda del área de marketing donde vamos a hacer reconocer nuestro producto a través de la publicidad y las redes sociales, le vamos a poner un precio moderado para poder alcanzar un punto alto en nuestras ventas, y cada socio va a tener una cantidad determinada de productos para vender a sus famiiares, amigos o vecinos. Además de las ventas que realicemos a través de las redes sociales.</t>
  </si>
  <si>
    <t xml:space="preserve"> Para producir esa cantidad en el tiempo determinado lo que vamos hacer es que cada socio va a producir al menos tres prototipos, y el área de producción va a producir 6 prototipos</t>
  </si>
  <si>
    <t>Elegimos ese capital incial porque es lo que nos llegaria para cubrir el total de los costos fijos y los costos variables hasta alcanzar PE, y asi poder después reinvertir para seguir produciendo, este capital lo sacamos de la suma de las dos variente; total de costos fijos y total de costos variables.</t>
  </si>
  <si>
    <t>Elegimos vender esa cantidad de acciones porque somos 27 estudiantes.</t>
  </si>
  <si>
    <t>En el módulo 9</t>
  </si>
  <si>
    <t>PE</t>
  </si>
  <si>
    <t>Px</t>
  </si>
  <si>
    <t>COSTO VARIABLE</t>
  </si>
  <si>
    <t>CANT</t>
  </si>
  <si>
    <t>Costo fijo</t>
  </si>
  <si>
    <t>INGRSOS TOTALES</t>
  </si>
  <si>
    <t>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</si>
</sst>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$&quot;* #,##0.00_-;\-&quot;$&quot;* #,##0.00_-;_-&quot;$&quot;* &quot;-&quot;??_-;_-@_-"/>
    <numFmt numFmtId="165" formatCode="_-&quot;$&quot;* #,##0_-;\-&quot;$&quot;* #,##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9"/>
      <name val="Helvetica"/>
    </font>
    <font>
      <sz val="11"/>
      <color theme="9"/>
      <name val="Helvetica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3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2" borderId="1" xfId="0" applyFill="1" applyBorder="1" applyAlignment="1">
      <alignment horizontal="right"/>
    </xf>
    <xf numFmtId="0" fontId="0" fillId="3" borderId="2" xfId="0" applyFill="1" applyBorder="1"/>
    <xf numFmtId="0" fontId="0" fillId="4" borderId="3" xfId="0" applyFill="1" applyBorder="1" applyProtection="1">
      <protection locked="0"/>
    </xf>
    <xf numFmtId="0" fontId="0" fillId="3" borderId="3" xfId="0" applyFill="1" applyBorder="1"/>
    <xf numFmtId="0" fontId="0" fillId="3" borderId="4" xfId="0" applyFill="1" applyBorder="1"/>
    <xf numFmtId="0" fontId="0" fillId="5" borderId="1" xfId="0" applyFill="1" applyBorder="1"/>
    <xf numFmtId="0" fontId="0" fillId="3" borderId="5" xfId="0" applyFill="1" applyBorder="1"/>
    <xf numFmtId="0" fontId="0" fillId="4" borderId="0" xfId="0" applyFill="1" applyProtection="1">
      <protection locked="0"/>
    </xf>
    <xf numFmtId="0" fontId="0" fillId="3" borderId="0" xfId="0" applyFill="1"/>
    <xf numFmtId="0" fontId="0" fillId="3" borderId="6" xfId="0" applyFill="1" applyBorder="1"/>
    <xf numFmtId="1" fontId="2" fillId="5" borderId="1" xfId="0" applyNumberFormat="1" applyFont="1" applyFill="1" applyBorder="1"/>
    <xf numFmtId="165" fontId="2" fillId="3" borderId="0" xfId="1" applyNumberFormat="1" applyFont="1" applyFill="1" applyBorder="1" applyProtection="1"/>
    <xf numFmtId="165" fontId="0" fillId="4" borderId="6" xfId="1" applyNumberFormat="1" applyFont="1" applyFill="1" applyBorder="1" applyProtection="1">
      <protection locked="0"/>
    </xf>
    <xf numFmtId="165" fontId="2" fillId="0" borderId="1" xfId="0" applyNumberFormat="1" applyFont="1" applyBorder="1"/>
    <xf numFmtId="165" fontId="2" fillId="0" borderId="1" xfId="1" applyNumberFormat="1" applyFont="1" applyBorder="1" applyProtection="1"/>
    <xf numFmtId="165" fontId="0" fillId="4" borderId="0" xfId="1" applyNumberFormat="1" applyFont="1" applyFill="1" applyBorder="1" applyProtection="1">
      <protection locked="0"/>
    </xf>
    <xf numFmtId="0" fontId="2" fillId="0" borderId="1" xfId="0" applyFont="1" applyBorder="1"/>
    <xf numFmtId="2" fontId="0" fillId="5" borderId="1" xfId="0" applyNumberFormat="1" applyFill="1" applyBorder="1"/>
    <xf numFmtId="2" fontId="2" fillId="0" borderId="1" xfId="0" applyNumberFormat="1" applyFont="1" applyBorder="1"/>
    <xf numFmtId="0" fontId="0" fillId="3" borderId="7" xfId="0" applyFill="1" applyBorder="1"/>
    <xf numFmtId="165" fontId="2" fillId="3" borderId="8" xfId="1" applyNumberFormat="1" applyFont="1" applyFill="1" applyBorder="1" applyProtection="1"/>
    <xf numFmtId="0" fontId="0" fillId="3" borderId="8" xfId="0" applyFill="1" applyBorder="1"/>
    <xf numFmtId="0" fontId="0" fillId="3" borderId="9" xfId="0" applyFill="1" applyBorder="1"/>
    <xf numFmtId="0" fontId="0" fillId="6" borderId="2" xfId="0" applyFill="1" applyBorder="1"/>
    <xf numFmtId="165" fontId="0" fillId="4" borderId="3" xfId="1" applyNumberFormat="1" applyFont="1" applyFill="1" applyBorder="1" applyProtection="1">
      <protection locked="0"/>
    </xf>
    <xf numFmtId="9" fontId="2" fillId="0" borderId="1" xfId="2" applyFont="1" applyBorder="1" applyProtection="1"/>
    <xf numFmtId="9" fontId="0" fillId="0" borderId="0" xfId="2" applyFont="1" applyProtection="1"/>
    <xf numFmtId="0" fontId="0" fillId="6" borderId="5" xfId="0" applyFill="1" applyBorder="1"/>
    <xf numFmtId="9" fontId="0" fillId="4" borderId="0" xfId="2" applyFont="1" applyFill="1" applyBorder="1" applyProtection="1">
      <protection locked="0"/>
    </xf>
    <xf numFmtId="0" fontId="0" fillId="6" borderId="6" xfId="0" applyFill="1" applyBorder="1"/>
    <xf numFmtId="0" fontId="0" fillId="7" borderId="1" xfId="0" applyFill="1" applyBorder="1"/>
    <xf numFmtId="1" fontId="2" fillId="0" borderId="1" xfId="0" applyNumberFormat="1" applyFont="1" applyBorder="1"/>
    <xf numFmtId="0" fontId="0" fillId="6" borderId="7" xfId="0" applyFill="1" applyBorder="1"/>
    <xf numFmtId="165" fontId="2" fillId="6" borderId="8" xfId="1" applyNumberFormat="1" applyFont="1" applyFill="1" applyBorder="1" applyProtection="1"/>
    <xf numFmtId="0" fontId="0" fillId="8" borderId="10" xfId="0" applyFill="1" applyBorder="1"/>
    <xf numFmtId="165" fontId="0" fillId="4" borderId="11" xfId="1" applyNumberFormat="1" applyFont="1" applyFill="1" applyBorder="1" applyProtection="1">
      <protection locked="0"/>
    </xf>
    <xf numFmtId="0" fontId="0" fillId="9" borderId="2" xfId="0" applyFill="1" applyBorder="1"/>
    <xf numFmtId="165" fontId="2" fillId="9" borderId="11" xfId="0" applyNumberFormat="1" applyFont="1" applyFill="1" applyBorder="1"/>
    <xf numFmtId="0" fontId="0" fillId="9" borderId="12" xfId="0" applyFill="1" applyBorder="1" applyAlignment="1">
      <alignment horizontal="left"/>
    </xf>
    <xf numFmtId="0" fontId="0" fillId="9" borderId="5" xfId="0" applyFill="1" applyBorder="1"/>
    <xf numFmtId="165" fontId="2" fillId="9" borderId="0" xfId="0" applyNumberFormat="1" applyFont="1" applyFill="1"/>
    <xf numFmtId="0" fontId="0" fillId="9" borderId="6" xfId="0" applyFill="1" applyBorder="1" applyAlignment="1">
      <alignment horizontal="left"/>
    </xf>
    <xf numFmtId="0" fontId="0" fillId="9" borderId="7" xfId="0" applyFill="1" applyBorder="1"/>
    <xf numFmtId="0" fontId="0" fillId="9" borderId="9" xfId="0" applyFill="1" applyBorder="1"/>
    <xf numFmtId="0" fontId="0" fillId="10" borderId="1" xfId="0" applyFill="1" applyBorder="1" applyAlignment="1">
      <alignment horizontal="right"/>
    </xf>
    <xf numFmtId="165" fontId="2" fillId="10" borderId="1" xfId="0" applyNumberFormat="1" applyFont="1" applyFill="1" applyBorder="1"/>
    <xf numFmtId="165" fontId="2" fillId="10" borderId="1" xfId="1" applyNumberFormat="1" applyFont="1" applyFill="1" applyBorder="1" applyProtection="1"/>
    <xf numFmtId="0" fontId="2" fillId="10" borderId="1" xfId="0" applyFont="1" applyFill="1" applyBorder="1"/>
    <xf numFmtId="2" fontId="2" fillId="10" borderId="1" xfId="0" applyNumberFormat="1" applyFont="1" applyFill="1" applyBorder="1"/>
    <xf numFmtId="9" fontId="2" fillId="10" borderId="1" xfId="2" applyFont="1" applyFill="1" applyBorder="1" applyProtection="1"/>
    <xf numFmtId="1" fontId="5" fillId="11" borderId="1" xfId="0" applyNumberFormat="1" applyFont="1" applyFill="1" applyBorder="1"/>
    <xf numFmtId="0" fontId="0" fillId="2" borderId="1" xfId="0" applyFill="1" applyBorder="1" applyAlignment="1">
      <alignment horizontal="left"/>
    </xf>
    <xf numFmtId="0" fontId="0" fillId="0" borderId="3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/>
    <xf numFmtId="0" fontId="0" fillId="0" borderId="0" xfId="0" applyAlignment="1">
      <alignment wrapText="1"/>
    </xf>
    <xf numFmtId="0" fontId="0" fillId="0" borderId="11" xfId="0" applyBorder="1"/>
    <xf numFmtId="0" fontId="0" fillId="0" borderId="12" xfId="0" applyBorder="1"/>
    <xf numFmtId="0" fontId="0" fillId="2" borderId="10" xfId="0" applyFill="1" applyBorder="1"/>
    <xf numFmtId="0" fontId="0" fillId="11" borderId="0" xfId="0" applyFill="1"/>
    <xf numFmtId="0" fontId="0" fillId="6" borderId="3" xfId="0" applyFill="1" applyBorder="1"/>
    <xf numFmtId="0" fontId="0" fillId="6" borderId="0" xfId="0" applyFill="1"/>
    <xf numFmtId="0" fontId="0" fillId="6" borderId="8" xfId="0" applyFill="1" applyBorder="1" applyAlignment="1">
      <alignment horizontal="left"/>
    </xf>
    <xf numFmtId="0" fontId="0" fillId="6" borderId="8" xfId="0" applyFill="1" applyBorder="1"/>
    <xf numFmtId="0" fontId="0" fillId="6" borderId="9" xfId="0" applyFill="1" applyBorder="1"/>
    <xf numFmtId="164" fontId="0" fillId="4" borderId="0" xfId="1" applyNumberFormat="1" applyFont="1" applyFill="1" applyBorder="1" applyProtection="1">
      <protection locked="0"/>
    </xf>
    <xf numFmtId="0" fontId="0" fillId="4" borderId="4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164" fontId="2" fillId="6" borderId="0" xfId="1" applyNumberFormat="1" applyFont="1" applyFill="1" applyBorder="1" applyProtection="1">
      <protection locked="0"/>
    </xf>
    <xf numFmtId="164" fontId="2" fillId="6" borderId="3" xfId="1" applyNumberFormat="1" applyFont="1" applyFill="1" applyBorder="1" applyProtection="1">
      <protection locked="0"/>
    </xf>
    <xf numFmtId="1" fontId="2" fillId="9" borderId="8" xfId="0" applyNumberFormat="1" applyFont="1" applyFill="1" applyBorder="1" applyAlignment="1">
      <alignment horizontal="center"/>
    </xf>
    <xf numFmtId="10" fontId="0" fillId="0" borderId="0" xfId="0" applyNumberFormat="1"/>
    <xf numFmtId="0" fontId="0" fillId="0" borderId="3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6" xfId="0" applyBorder="1" applyAlignment="1">
      <alignment horizontal="left" vertical="center"/>
    </xf>
    <xf numFmtId="0" fontId="0" fillId="8" borderId="13" xfId="0" applyFill="1" applyBorder="1" applyAlignment="1">
      <alignment horizontal="left"/>
    </xf>
    <xf numFmtId="0" fontId="0" fillId="8" borderId="14" xfId="0" applyFill="1" applyBorder="1" applyAlignment="1">
      <alignment horizontal="left"/>
    </xf>
    <xf numFmtId="0" fontId="0" fillId="8" borderId="15" xfId="0" applyFill="1" applyBorder="1" applyAlignment="1">
      <alignment horizontal="left"/>
    </xf>
    <xf numFmtId="0" fontId="0" fillId="0" borderId="2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0" fontId="0" fillId="0" borderId="1" xfId="0" applyBorder="1"/>
    <xf numFmtId="1" fontId="0" fillId="0" borderId="1" xfId="0" applyNumberFormat="1" applyBorder="1"/>
    <xf numFmtId="165" fontId="0" fillId="0" borderId="0" xfId="0" applyNumberFormat="1"/>
    <xf numFmtId="165" fontId="0" fillId="0" borderId="1" xfId="0" applyNumberFormat="1" applyBorder="1"/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VENTAS</a:t>
            </a:r>
            <a:r>
              <a:rPr lang="en-US" baseline="0"/>
              <a:t> Y COSTOS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361622883906775"/>
          <c:y val="0.12698099906862145"/>
          <c:w val="0.83891296150513017"/>
          <c:h val="0.72100022779012574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Cálculo!$R$4:$R$8</c:f>
              <c:numCache>
                <c:formatCode>General</c:formatCode>
                <c:ptCount val="5"/>
                <c:pt idx="0">
                  <c:v>0</c:v>
                </c:pt>
                <c:pt idx="1">
                  <c:v>90</c:v>
                </c:pt>
                <c:pt idx="2" formatCode="0">
                  <c:v>140</c:v>
                </c:pt>
                <c:pt idx="3" formatCode="0">
                  <c:v>200</c:v>
                </c:pt>
                <c:pt idx="4" formatCode="0">
                  <c:v>180</c:v>
                </c:pt>
              </c:numCache>
            </c:numRef>
          </c:xVal>
          <c:yVal>
            <c:numRef>
              <c:f>Cálculo!$Q$4:$Q$8</c:f>
              <c:numCache>
                <c:formatCode>_-"$"* #,##0_-;\-"$"* #,##0_-;_-"$"* "-"??_-;_-@_-</c:formatCode>
                <c:ptCount val="5"/>
                <c:pt idx="0" formatCode="General">
                  <c:v>0</c:v>
                </c:pt>
                <c:pt idx="1">
                  <c:v>15538.355270559117</c:v>
                </c:pt>
                <c:pt idx="2">
                  <c:v>24110.799999999999</c:v>
                </c:pt>
                <c:pt idx="3">
                  <c:v>34444</c:v>
                </c:pt>
                <c:pt idx="4">
                  <c:v>30999.599999999999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3A1B-42B1-AC4D-E817E8682BC9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Cálculo!$U$4:$U$8</c:f>
              <c:numCache>
                <c:formatCode>General</c:formatCode>
                <c:ptCount val="5"/>
                <c:pt idx="0">
                  <c:v>0</c:v>
                </c:pt>
                <c:pt idx="1">
                  <c:v>90</c:v>
                </c:pt>
                <c:pt idx="2" formatCode="0">
                  <c:v>140</c:v>
                </c:pt>
                <c:pt idx="3" formatCode="0">
                  <c:v>200</c:v>
                </c:pt>
                <c:pt idx="4" formatCode="0">
                  <c:v>180</c:v>
                </c:pt>
              </c:numCache>
            </c:numRef>
          </c:xVal>
          <c:yVal>
            <c:numRef>
              <c:f>Cálculo!$T$4:$T$8</c:f>
              <c:numCache>
                <c:formatCode>General</c:formatCode>
                <c:ptCount val="5"/>
                <c:pt idx="0">
                  <c:v>16040</c:v>
                </c:pt>
                <c:pt idx="1">
                  <c:v>16040</c:v>
                </c:pt>
                <c:pt idx="2">
                  <c:v>16040</c:v>
                </c:pt>
                <c:pt idx="3">
                  <c:v>16040</c:v>
                </c:pt>
                <c:pt idx="4">
                  <c:v>16040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3A1B-42B1-AC4D-E817E8682BC9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Cálculo!$U$12:$U$16</c:f>
              <c:numCache>
                <c:formatCode>General</c:formatCode>
                <c:ptCount val="5"/>
                <c:pt idx="0">
                  <c:v>0</c:v>
                </c:pt>
                <c:pt idx="1">
                  <c:v>90</c:v>
                </c:pt>
                <c:pt idx="2" formatCode="0">
                  <c:v>140</c:v>
                </c:pt>
                <c:pt idx="3" formatCode="0">
                  <c:v>200</c:v>
                </c:pt>
                <c:pt idx="4" formatCode="0">
                  <c:v>180</c:v>
                </c:pt>
              </c:numCache>
            </c:numRef>
          </c:xVal>
          <c:yVal>
            <c:numRef>
              <c:f>Cálculo!$V$12:$V$16</c:f>
              <c:numCache>
                <c:formatCode>General</c:formatCode>
                <c:ptCount val="5"/>
                <c:pt idx="0">
                  <c:v>0</c:v>
                </c:pt>
                <c:pt idx="1">
                  <c:v>31500</c:v>
                </c:pt>
                <c:pt idx="2">
                  <c:v>49000</c:v>
                </c:pt>
                <c:pt idx="3">
                  <c:v>70000</c:v>
                </c:pt>
                <c:pt idx="4">
                  <c:v>63000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3A1B-42B1-AC4D-E817E8682BC9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Cálculo!$U$20:$U$24</c:f>
              <c:numCache>
                <c:formatCode>General</c:formatCode>
                <c:ptCount val="5"/>
                <c:pt idx="0">
                  <c:v>0</c:v>
                </c:pt>
                <c:pt idx="1">
                  <c:v>90</c:v>
                </c:pt>
                <c:pt idx="2" formatCode="0">
                  <c:v>140</c:v>
                </c:pt>
                <c:pt idx="3" formatCode="0">
                  <c:v>200</c:v>
                </c:pt>
                <c:pt idx="4" formatCode="0">
                  <c:v>180</c:v>
                </c:pt>
              </c:numCache>
            </c:numRef>
          </c:xVal>
          <c:yVal>
            <c:numRef>
              <c:f>Cálculo!$V$20:$V$24</c:f>
              <c:numCache>
                <c:formatCode>_-"$"* #,##0_-;\-"$"* #,##0_-;_-"$"* "-"??_-;_-@_-</c:formatCode>
                <c:ptCount val="5"/>
                <c:pt idx="0" formatCode="General">
                  <c:v>16040</c:v>
                </c:pt>
                <c:pt idx="1">
                  <c:v>31578</c:v>
                </c:pt>
                <c:pt idx="2" formatCode="General">
                  <c:v>40151</c:v>
                </c:pt>
                <c:pt idx="3" formatCode="General">
                  <c:v>50484</c:v>
                </c:pt>
                <c:pt idx="4" formatCode="General">
                  <c:v>47040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3A1B-42B1-AC4D-E817E8682B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5906024"/>
        <c:axId val="355901760"/>
      </c:scatterChart>
      <c:valAx>
        <c:axId val="3559060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QE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5901760"/>
        <c:crosses val="autoZero"/>
        <c:crossBetween val="midCat"/>
      </c:valAx>
      <c:valAx>
        <c:axId val="355901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59060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15903</xdr:colOff>
      <xdr:row>0</xdr:row>
      <xdr:rowOff>23856</xdr:rowOff>
    </xdr:from>
    <xdr:ext cx="2158448" cy="535821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03" y="23856"/>
          <a:ext cx="2158448" cy="535821"/>
        </a:xfrm>
        <a:prstGeom prst="rect">
          <a:avLst/>
        </a:prstGeom>
      </xdr:spPr>
    </xdr:pic>
    <xdr:clientData/>
  </xdr:oneCellAnchor>
  <xdr:twoCellAnchor>
    <xdr:from>
      <xdr:col>12</xdr:col>
      <xdr:colOff>531917</xdr:colOff>
      <xdr:row>10</xdr:row>
      <xdr:rowOff>1484</xdr:rowOff>
    </xdr:from>
    <xdr:to>
      <xdr:col>18</xdr:col>
      <xdr:colOff>665515</xdr:colOff>
      <xdr:row>30</xdr:row>
      <xdr:rowOff>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0.79715</cdr:x>
      <cdr:y>0.15986</cdr:y>
    </cdr:from>
    <cdr:to>
      <cdr:x>0.92227</cdr:x>
      <cdr:y>0.25456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4820012" y="593023"/>
          <a:ext cx="756542" cy="3512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VENTAS</a:t>
          </a:r>
        </a:p>
      </cdr:txBody>
    </cdr:sp>
  </cdr:relSizeAnchor>
  <cdr:relSizeAnchor xmlns:cdr="http://schemas.openxmlformats.org/drawingml/2006/chartDrawing">
    <cdr:from>
      <cdr:x>0.7962</cdr:x>
      <cdr:y>0.31553</cdr:y>
    </cdr:from>
    <cdr:to>
      <cdr:x>0.93095</cdr:x>
      <cdr:y>0.47787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4814248" y="1170483"/>
          <a:ext cx="814738" cy="6022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COSTOS TOTALES</a:t>
          </a:r>
        </a:p>
      </cdr:txBody>
    </cdr:sp>
  </cdr:relSizeAnchor>
  <cdr:relSizeAnchor xmlns:cdr="http://schemas.openxmlformats.org/drawingml/2006/chartDrawing">
    <cdr:from>
      <cdr:x>0.78874</cdr:x>
      <cdr:y>0.44589</cdr:y>
    </cdr:from>
    <cdr:to>
      <cdr:x>0.94995</cdr:x>
      <cdr:y>0.61273</cdr:y>
    </cdr:to>
    <cdr:sp macro="" textlink="">
      <cdr:nvSpPr>
        <cdr:cNvPr id="4" name="CuadroTexto 3"/>
        <cdr:cNvSpPr txBox="1"/>
      </cdr:nvSpPr>
      <cdr:spPr>
        <a:xfrm xmlns:a="http://schemas.openxmlformats.org/drawingml/2006/main">
          <a:off x="4054926" y="1223158"/>
          <a:ext cx="828799" cy="4576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COSTOS VARIABLES</a:t>
          </a:r>
        </a:p>
      </cdr:txBody>
    </cdr:sp>
  </cdr:relSizeAnchor>
  <cdr:relSizeAnchor xmlns:cdr="http://schemas.openxmlformats.org/drawingml/2006/chartDrawing">
    <cdr:from>
      <cdr:x>0.78633</cdr:x>
      <cdr:y>0.65783</cdr:y>
    </cdr:from>
    <cdr:to>
      <cdr:x>0.91867</cdr:x>
      <cdr:y>0.82467</cdr:y>
    </cdr:to>
    <cdr:sp macro="" textlink="">
      <cdr:nvSpPr>
        <cdr:cNvPr id="5" name="CuadroTexto 4"/>
        <cdr:cNvSpPr txBox="1"/>
      </cdr:nvSpPr>
      <cdr:spPr>
        <a:xfrm xmlns:a="http://schemas.openxmlformats.org/drawingml/2006/main">
          <a:off x="4042558" y="1804554"/>
          <a:ext cx="680357" cy="4576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COSTOS FIJOS</a:t>
          </a:r>
        </a:p>
      </cdr:txBody>
    </cdr:sp>
  </cdr:relSizeAnchor>
  <cdr:relSizeAnchor xmlns:cdr="http://schemas.openxmlformats.org/drawingml/2006/chartDrawing">
    <cdr:from>
      <cdr:x>0.3845</cdr:x>
      <cdr:y>0.48647</cdr:y>
    </cdr:from>
    <cdr:to>
      <cdr:x>0.45428</cdr:x>
      <cdr:y>0.61724</cdr:y>
    </cdr:to>
    <cdr:sp macro="" textlink="">
      <cdr:nvSpPr>
        <cdr:cNvPr id="6" name="Elipse 5"/>
        <cdr:cNvSpPr/>
      </cdr:nvSpPr>
      <cdr:spPr>
        <a:xfrm xmlns:a="http://schemas.openxmlformats.org/drawingml/2006/main">
          <a:off x="1976746" y="1334489"/>
          <a:ext cx="358734" cy="358733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0.3845</cdr:x>
      <cdr:y>0.39177</cdr:y>
    </cdr:from>
    <cdr:to>
      <cdr:x>0.49038</cdr:x>
      <cdr:y>0.50902</cdr:y>
    </cdr:to>
    <cdr:sp macro="" textlink="">
      <cdr:nvSpPr>
        <cdr:cNvPr id="7" name="CuadroTexto 6"/>
        <cdr:cNvSpPr txBox="1"/>
      </cdr:nvSpPr>
      <cdr:spPr>
        <a:xfrm xmlns:a="http://schemas.openxmlformats.org/drawingml/2006/main">
          <a:off x="1976746" y="1074717"/>
          <a:ext cx="544286" cy="3216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P.E.</a:t>
          </a:r>
        </a:p>
      </cdr:txBody>
    </cdr:sp>
  </cdr:relSizeAnchor>
  <cdr:relSizeAnchor xmlns:cdr="http://schemas.openxmlformats.org/drawingml/2006/chartDrawing">
    <cdr:from>
      <cdr:x>0.13667</cdr:x>
      <cdr:y>0.68038</cdr:y>
    </cdr:from>
    <cdr:to>
      <cdr:x>0.29307</cdr:x>
      <cdr:y>0.76154</cdr:y>
    </cdr:to>
    <cdr:sp macro="" textlink="">
      <cdr:nvSpPr>
        <cdr:cNvPr id="8" name="CuadroTexto 7"/>
        <cdr:cNvSpPr txBox="1"/>
      </cdr:nvSpPr>
      <cdr:spPr>
        <a:xfrm xmlns:a="http://schemas.openxmlformats.org/drawingml/2006/main">
          <a:off x="702623" y="1866405"/>
          <a:ext cx="804058" cy="2226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tabSelected="1" topLeftCell="H8" zoomScale="77" zoomScaleNormal="77" workbookViewId="0">
      <selection activeCell="V27" sqref="V27"/>
    </sheetView>
  </sheetViews>
  <sheetFormatPr baseColWidth="10" defaultColWidth="11.42578125" defaultRowHeight="15" x14ac:dyDescent="0.25"/>
  <cols>
    <col min="1" max="1" width="21.42578125" customWidth="1"/>
    <col min="2" max="2" width="15.140625" customWidth="1"/>
    <col min="3" max="3" width="75" customWidth="1"/>
    <col min="4" max="4" width="16.140625" bestFit="1" customWidth="1"/>
    <col min="5" max="5" width="28.7109375" bestFit="1" customWidth="1"/>
    <col min="7" max="7" width="25" customWidth="1"/>
    <col min="8" max="8" width="11.7109375" bestFit="1" customWidth="1"/>
    <col min="9" max="9" width="19.7109375" customWidth="1"/>
    <col min="10" max="10" width="20" customWidth="1"/>
    <col min="11" max="11" width="21.5703125" customWidth="1"/>
    <col min="12" max="12" width="29.85546875" bestFit="1" customWidth="1"/>
    <col min="13" max="13" width="22.5703125" bestFit="1" customWidth="1"/>
    <col min="17" max="18" width="15.7109375" customWidth="1"/>
  </cols>
  <sheetData>
    <row r="1" spans="1:22" ht="20.25" x14ac:dyDescent="0.3">
      <c r="C1" s="1" t="s">
        <v>0</v>
      </c>
    </row>
    <row r="2" spans="1:22" x14ac:dyDescent="0.25">
      <c r="C2" s="2" t="s">
        <v>1</v>
      </c>
      <c r="G2" s="54" t="s">
        <v>2</v>
      </c>
      <c r="H2" s="3" t="s">
        <v>3</v>
      </c>
      <c r="I2" s="3" t="s">
        <v>4</v>
      </c>
      <c r="J2" s="3" t="s">
        <v>5</v>
      </c>
      <c r="K2" s="47" t="s">
        <v>6</v>
      </c>
    </row>
    <row r="3" spans="1:22" x14ac:dyDescent="0.25">
      <c r="C3" s="2" t="s">
        <v>7</v>
      </c>
      <c r="G3" s="8" t="s">
        <v>8</v>
      </c>
      <c r="H3" s="13">
        <f>+B32</f>
        <v>90.223872201597473</v>
      </c>
      <c r="I3" s="53">
        <v>140</v>
      </c>
      <c r="J3" s="53">
        <v>200</v>
      </c>
      <c r="K3" s="53">
        <v>180</v>
      </c>
      <c r="L3" s="62" t="s">
        <v>9</v>
      </c>
      <c r="N3" s="89" t="s">
        <v>80</v>
      </c>
      <c r="O3" s="89" t="s">
        <v>79</v>
      </c>
      <c r="Q3" s="89" t="s">
        <v>81</v>
      </c>
      <c r="R3" s="89" t="s">
        <v>82</v>
      </c>
      <c r="T3" t="s">
        <v>83</v>
      </c>
      <c r="U3" t="s">
        <v>82</v>
      </c>
    </row>
    <row r="4" spans="1:22" x14ac:dyDescent="0.25">
      <c r="G4" s="20" t="s">
        <v>10</v>
      </c>
      <c r="H4" s="21">
        <f>+H3/$B$7</f>
        <v>5.6389920125998421</v>
      </c>
      <c r="I4" s="21">
        <f>+I3/$B$7</f>
        <v>8.75</v>
      </c>
      <c r="J4" s="21">
        <f>+J3/$B$7</f>
        <v>12.5</v>
      </c>
      <c r="K4" s="51">
        <f>+K3/$B$7</f>
        <v>11.25</v>
      </c>
      <c r="N4" s="89">
        <v>350</v>
      </c>
      <c r="O4" s="90">
        <f>H3</f>
        <v>90.223872201597473</v>
      </c>
      <c r="Q4" s="89">
        <v>0</v>
      </c>
      <c r="R4" s="89">
        <v>0</v>
      </c>
      <c r="T4">
        <v>16040</v>
      </c>
      <c r="U4" s="89">
        <v>0</v>
      </c>
    </row>
    <row r="5" spans="1:22" x14ac:dyDescent="0.25">
      <c r="G5" s="20" t="s">
        <v>11</v>
      </c>
      <c r="H5" s="21">
        <f t="shared" ref="H5:J5" si="0">+H4/$B$6</f>
        <v>0.20885155602221636</v>
      </c>
      <c r="I5" s="21">
        <f t="shared" si="0"/>
        <v>0.32407407407407407</v>
      </c>
      <c r="J5" s="21">
        <f t="shared" si="0"/>
        <v>0.46296296296296297</v>
      </c>
      <c r="K5" s="51">
        <f t="shared" ref="K5" si="1">+K4/$B$6</f>
        <v>0.41666666666666669</v>
      </c>
      <c r="Q5" s="92">
        <f>H8</f>
        <v>15538.355270559117</v>
      </c>
      <c r="R5" s="89">
        <v>90</v>
      </c>
      <c r="T5">
        <v>16040</v>
      </c>
      <c r="U5" s="89">
        <v>90</v>
      </c>
    </row>
    <row r="6" spans="1:22" x14ac:dyDescent="0.25">
      <c r="A6" s="4" t="s">
        <v>12</v>
      </c>
      <c r="B6" s="5">
        <v>27</v>
      </c>
      <c r="C6" s="6" t="s">
        <v>13</v>
      </c>
      <c r="D6" s="7"/>
      <c r="G6" s="8" t="s">
        <v>14</v>
      </c>
      <c r="H6" s="17">
        <f>+$B$28*H3</f>
        <v>31578.355270559117</v>
      </c>
      <c r="I6" s="17">
        <f>+$B$28*I3</f>
        <v>49000</v>
      </c>
      <c r="J6" s="17">
        <f>+$B$28*J3</f>
        <v>70000</v>
      </c>
      <c r="K6" s="49">
        <f>+$B$28*K3</f>
        <v>63000</v>
      </c>
      <c r="Q6" s="92">
        <f>I8</f>
        <v>24110.799999999999</v>
      </c>
      <c r="R6" s="90">
        <f>I3</f>
        <v>140</v>
      </c>
      <c r="T6">
        <v>16040</v>
      </c>
      <c r="U6" s="90">
        <v>140</v>
      </c>
    </row>
    <row r="7" spans="1:22" x14ac:dyDescent="0.25">
      <c r="A7" s="9"/>
      <c r="B7" s="10">
        <v>16</v>
      </c>
      <c r="C7" s="11" t="s">
        <v>15</v>
      </c>
      <c r="D7" s="12"/>
      <c r="G7" s="8" t="s">
        <v>12</v>
      </c>
      <c r="H7" s="16">
        <f t="shared" ref="H7:J7" si="2">+$B$16</f>
        <v>16040</v>
      </c>
      <c r="I7" s="16">
        <f t="shared" si="2"/>
        <v>16040</v>
      </c>
      <c r="J7" s="16">
        <f t="shared" si="2"/>
        <v>16040</v>
      </c>
      <c r="K7" s="48">
        <f>+$B$16</f>
        <v>16040</v>
      </c>
      <c r="Q7" s="92">
        <f>J8</f>
        <v>34444</v>
      </c>
      <c r="R7" s="90">
        <f>J3</f>
        <v>200</v>
      </c>
      <c r="T7">
        <v>16040</v>
      </c>
      <c r="U7" s="90">
        <v>200</v>
      </c>
    </row>
    <row r="8" spans="1:22" x14ac:dyDescent="0.25">
      <c r="A8" s="9"/>
      <c r="B8" s="14">
        <f>1*D8*B7</f>
        <v>800</v>
      </c>
      <c r="C8" s="11" t="s">
        <v>16</v>
      </c>
      <c r="D8" s="15">
        <v>50</v>
      </c>
      <c r="G8" s="8" t="s">
        <v>17</v>
      </c>
      <c r="H8" s="17">
        <f>+$B$26*H3</f>
        <v>15538.355270559117</v>
      </c>
      <c r="I8" s="17">
        <f>+$B$26*I3</f>
        <v>24110.799999999999</v>
      </c>
      <c r="J8" s="17">
        <f>+$B$26*J3</f>
        <v>34444</v>
      </c>
      <c r="K8" s="49">
        <f>+$B$26*K3</f>
        <v>30999.599999999999</v>
      </c>
      <c r="Q8" s="92">
        <f>K8</f>
        <v>30999.599999999999</v>
      </c>
      <c r="R8" s="90">
        <f>K3</f>
        <v>180</v>
      </c>
      <c r="T8">
        <v>16040</v>
      </c>
      <c r="U8" s="90">
        <v>180</v>
      </c>
    </row>
    <row r="9" spans="1:22" x14ac:dyDescent="0.25">
      <c r="A9" s="9"/>
      <c r="B9" s="14">
        <f>4*D9*B7</f>
        <v>2240</v>
      </c>
      <c r="C9" s="11" t="s">
        <v>18</v>
      </c>
      <c r="D9" s="15">
        <v>35</v>
      </c>
      <c r="G9" s="8" t="s">
        <v>19</v>
      </c>
      <c r="H9" s="16">
        <f t="shared" ref="H9:J9" si="3">+H8+H7</f>
        <v>31578.355270559117</v>
      </c>
      <c r="I9" s="16">
        <f t="shared" si="3"/>
        <v>40150.800000000003</v>
      </c>
      <c r="J9" s="16">
        <f t="shared" si="3"/>
        <v>50484</v>
      </c>
      <c r="K9" s="48">
        <f>+K8+K7</f>
        <v>47039.6</v>
      </c>
    </row>
    <row r="10" spans="1:22" x14ac:dyDescent="0.25">
      <c r="A10" s="9"/>
      <c r="B10" s="14">
        <f>(+B6-5)*D10*B7</f>
        <v>8800</v>
      </c>
      <c r="C10" s="11" t="s">
        <v>20</v>
      </c>
      <c r="D10" s="15">
        <v>25</v>
      </c>
      <c r="G10" s="8" t="s">
        <v>21</v>
      </c>
      <c r="H10" s="16">
        <f>+H6-H9</f>
        <v>0</v>
      </c>
      <c r="I10" s="16">
        <f>+I6-I9</f>
        <v>8849.1999999999971</v>
      </c>
      <c r="J10" s="16">
        <f>+J6-J9</f>
        <v>19516</v>
      </c>
      <c r="K10" s="48">
        <f>+K6-K9</f>
        <v>15960.400000000001</v>
      </c>
    </row>
    <row r="11" spans="1:22" x14ac:dyDescent="0.25">
      <c r="A11" s="9"/>
      <c r="B11" s="14">
        <f>+SUM(B8:B10)</f>
        <v>11840</v>
      </c>
      <c r="C11" s="11" t="s">
        <v>22</v>
      </c>
      <c r="D11" s="12"/>
      <c r="G11" s="8" t="s">
        <v>23</v>
      </c>
      <c r="H11" s="19">
        <f>+IF(H10&gt;0,H10*0.05,0)</f>
        <v>0</v>
      </c>
      <c r="I11" s="19">
        <f t="shared" ref="I11:J11" si="4">+IF(I10&gt;0,I10*0.05,0)</f>
        <v>442.45999999999987</v>
      </c>
      <c r="J11" s="19">
        <f t="shared" si="4"/>
        <v>975.80000000000007</v>
      </c>
      <c r="K11" s="50">
        <f>+IF(K10&gt;0,K10*0.05,0)</f>
        <v>798.0200000000001</v>
      </c>
      <c r="U11" t="s">
        <v>82</v>
      </c>
      <c r="V11" t="s">
        <v>84</v>
      </c>
    </row>
    <row r="12" spans="1:22" x14ac:dyDescent="0.25">
      <c r="A12" s="9"/>
      <c r="B12" s="18">
        <v>1000</v>
      </c>
      <c r="C12" s="11" t="s">
        <v>24</v>
      </c>
      <c r="D12" s="12"/>
      <c r="G12" s="8" t="s">
        <v>25</v>
      </c>
      <c r="H12" s="16">
        <f t="shared" ref="H12:J12" si="5">+H10-H11</f>
        <v>0</v>
      </c>
      <c r="I12" s="16">
        <f t="shared" si="5"/>
        <v>8406.739999999998</v>
      </c>
      <c r="J12" s="16">
        <f t="shared" si="5"/>
        <v>18540.2</v>
      </c>
      <c r="K12" s="48">
        <f t="shared" ref="K12" si="6">+K10-K11</f>
        <v>15162.380000000001</v>
      </c>
      <c r="U12" s="89">
        <v>0</v>
      </c>
      <c r="V12">
        <v>0</v>
      </c>
    </row>
    <row r="13" spans="1:22" x14ac:dyDescent="0.25">
      <c r="A13" s="9"/>
      <c r="B13" s="18">
        <v>0</v>
      </c>
      <c r="C13" s="11" t="s">
        <v>26</v>
      </c>
      <c r="D13" s="12"/>
      <c r="G13" s="8" t="s">
        <v>27</v>
      </c>
      <c r="H13" s="16">
        <f>+H12/($H$18+$H$19)+$H$23</f>
        <v>584.78435686220587</v>
      </c>
      <c r="I13" s="16">
        <f>+I12/($H$18+$H$19)+$H$23</f>
        <v>740.46472723257625</v>
      </c>
      <c r="J13" s="16">
        <f>+J12/($H$18+$H$19)+$H$23</f>
        <v>928.121393899243</v>
      </c>
      <c r="K13" s="48">
        <f>+K12/($H$18+$H$19)+$H$23</f>
        <v>865.56917167702068</v>
      </c>
      <c r="U13" s="89">
        <v>90</v>
      </c>
      <c r="V13">
        <v>31500</v>
      </c>
    </row>
    <row r="14" spans="1:22" x14ac:dyDescent="0.25">
      <c r="A14" s="9"/>
      <c r="B14" s="18">
        <v>3200</v>
      </c>
      <c r="C14" s="11" t="s">
        <v>28</v>
      </c>
      <c r="D14" s="12"/>
      <c r="G14" s="8" t="s">
        <v>29</v>
      </c>
      <c r="H14" s="28">
        <f>(H13/$H$23)-1</f>
        <v>0</v>
      </c>
      <c r="I14" s="28">
        <f>(I13/$H$23)-1</f>
        <v>0.26621842486640546</v>
      </c>
      <c r="J14" s="28">
        <f>(J13/$H$23)-1</f>
        <v>0.58711734164588547</v>
      </c>
      <c r="K14" s="52">
        <f t="shared" ref="K14" si="7">(K13/$H$23)-1</f>
        <v>0.48015103605272524</v>
      </c>
      <c r="L14" s="29"/>
      <c r="U14" s="90">
        <v>140</v>
      </c>
      <c r="V14">
        <v>49000</v>
      </c>
    </row>
    <row r="15" spans="1:22" x14ac:dyDescent="0.25">
      <c r="A15" s="9"/>
      <c r="B15" s="18">
        <v>0</v>
      </c>
      <c r="C15" s="11" t="s">
        <v>30</v>
      </c>
      <c r="D15" s="12"/>
      <c r="E15">
        <f>27*2</f>
        <v>54</v>
      </c>
      <c r="U15" s="90">
        <v>200</v>
      </c>
      <c r="V15">
        <v>70000</v>
      </c>
    </row>
    <row r="16" spans="1:22" x14ac:dyDescent="0.25">
      <c r="A16" s="22"/>
      <c r="B16" s="23">
        <f>+SUM(B11:B15)</f>
        <v>16040</v>
      </c>
      <c r="C16" s="24" t="s">
        <v>31</v>
      </c>
      <c r="D16" s="25"/>
      <c r="G16" t="s">
        <v>32</v>
      </c>
      <c r="J16" s="29"/>
      <c r="K16" s="29"/>
      <c r="L16" s="29"/>
      <c r="M16" s="29"/>
      <c r="U16" s="90">
        <v>180</v>
      </c>
      <c r="V16">
        <v>63000</v>
      </c>
    </row>
    <row r="17" spans="1:22" x14ac:dyDescent="0.25">
      <c r="G17" s="33" t="s">
        <v>33</v>
      </c>
      <c r="H17" s="34">
        <f>+H3</f>
        <v>90.223872201597473</v>
      </c>
    </row>
    <row r="18" spans="1:22" x14ac:dyDescent="0.25">
      <c r="C18" s="74"/>
      <c r="D18" t="s">
        <v>34</v>
      </c>
      <c r="E18" t="s">
        <v>35</v>
      </c>
      <c r="G18" s="33" t="s">
        <v>36</v>
      </c>
      <c r="H18" s="19">
        <f>+$B$6</f>
        <v>27</v>
      </c>
    </row>
    <row r="19" spans="1:22" x14ac:dyDescent="0.25">
      <c r="A19" s="26" t="s">
        <v>37</v>
      </c>
      <c r="B19" s="72">
        <f>IF(D19&gt;0.001,D19*E19,0)</f>
        <v>9</v>
      </c>
      <c r="C19" s="63" t="s">
        <v>69</v>
      </c>
      <c r="D19" s="27">
        <v>3</v>
      </c>
      <c r="E19" s="69">
        <v>3</v>
      </c>
      <c r="G19" s="33" t="s">
        <v>38</v>
      </c>
      <c r="H19" s="19">
        <f>+H18</f>
        <v>27</v>
      </c>
      <c r="U19" t="s">
        <v>82</v>
      </c>
      <c r="V19" t="s">
        <v>85</v>
      </c>
    </row>
    <row r="20" spans="1:22" x14ac:dyDescent="0.25">
      <c r="A20" s="30"/>
      <c r="B20" s="71">
        <f>IF(D20&gt;0.001,D20*E20,0)</f>
        <v>10</v>
      </c>
      <c r="C20" s="64" t="s">
        <v>71</v>
      </c>
      <c r="D20" s="68">
        <v>10</v>
      </c>
      <c r="E20" s="70">
        <v>1</v>
      </c>
      <c r="G20" s="33" t="s">
        <v>39</v>
      </c>
      <c r="H20" s="16">
        <f>+H8</f>
        <v>15538.355270559117</v>
      </c>
      <c r="U20" s="89">
        <v>0</v>
      </c>
      <c r="V20">
        <v>16040</v>
      </c>
    </row>
    <row r="21" spans="1:22" x14ac:dyDescent="0.25">
      <c r="A21" s="30"/>
      <c r="B21" s="71">
        <f>IF(D21&gt;0.001,D21*E21,0)</f>
        <v>10</v>
      </c>
      <c r="C21" s="64" t="s">
        <v>70</v>
      </c>
      <c r="D21" s="68">
        <v>10</v>
      </c>
      <c r="E21" s="70">
        <v>1</v>
      </c>
      <c r="G21" s="33" t="s">
        <v>12</v>
      </c>
      <c r="H21" s="16">
        <f>+$B$16</f>
        <v>16040</v>
      </c>
      <c r="U21" s="89">
        <v>90</v>
      </c>
      <c r="V21" s="91">
        <v>31578</v>
      </c>
    </row>
    <row r="22" spans="1:22" x14ac:dyDescent="0.25">
      <c r="A22" s="30"/>
      <c r="B22" s="71">
        <f>IF(D22&gt;0.001,D22*E22,0)</f>
        <v>23.22</v>
      </c>
      <c r="C22" s="64" t="s">
        <v>72</v>
      </c>
      <c r="D22" s="18">
        <v>23.22</v>
      </c>
      <c r="E22" s="70">
        <v>1</v>
      </c>
      <c r="G22" s="33" t="s">
        <v>40</v>
      </c>
      <c r="H22" s="16">
        <f>+H21+H20</f>
        <v>31578.355270559117</v>
      </c>
      <c r="U22" s="90">
        <v>140</v>
      </c>
      <c r="V22">
        <v>40151</v>
      </c>
    </row>
    <row r="23" spans="1:22" x14ac:dyDescent="0.25">
      <c r="A23" s="30"/>
      <c r="B23" s="31">
        <v>0.1</v>
      </c>
      <c r="C23" s="64" t="s">
        <v>41</v>
      </c>
      <c r="D23" s="64"/>
      <c r="E23" s="32"/>
      <c r="G23" s="33" t="s">
        <v>42</v>
      </c>
      <c r="H23" s="17">
        <f>+H22/(H19+H18)</f>
        <v>584.78435686220587</v>
      </c>
      <c r="U23" s="90">
        <v>200</v>
      </c>
      <c r="V23">
        <v>50484</v>
      </c>
    </row>
    <row r="24" spans="1:22" x14ac:dyDescent="0.25">
      <c r="A24" s="30"/>
      <c r="B24" s="31">
        <v>0.1</v>
      </c>
      <c r="C24" s="64" t="s">
        <v>43</v>
      </c>
      <c r="D24" s="64"/>
      <c r="E24" s="32"/>
      <c r="U24" s="90">
        <v>180</v>
      </c>
      <c r="V24">
        <v>47040</v>
      </c>
    </row>
    <row r="25" spans="1:22" x14ac:dyDescent="0.25">
      <c r="A25" s="30"/>
      <c r="B25" s="18">
        <v>50</v>
      </c>
      <c r="C25" s="64" t="s">
        <v>44</v>
      </c>
      <c r="D25" s="64"/>
      <c r="E25" s="32"/>
      <c r="G25" t="s">
        <v>45</v>
      </c>
    </row>
    <row r="26" spans="1:22" x14ac:dyDescent="0.25">
      <c r="A26" s="35"/>
      <c r="B26" s="36">
        <f>+B19+(B28*B23)+(B24*B28)+B25+B20+B21+B22</f>
        <v>172.22</v>
      </c>
      <c r="C26" s="65" t="s">
        <v>37</v>
      </c>
      <c r="D26" s="66"/>
      <c r="E26" s="67"/>
      <c r="G26" t="s">
        <v>46</v>
      </c>
    </row>
    <row r="27" spans="1:22" x14ac:dyDescent="0.25">
      <c r="G27" t="s">
        <v>47</v>
      </c>
    </row>
    <row r="28" spans="1:22" x14ac:dyDescent="0.25">
      <c r="A28" s="37" t="s">
        <v>48</v>
      </c>
      <c r="B28" s="38">
        <v>350</v>
      </c>
      <c r="C28" s="83" t="s">
        <v>49</v>
      </c>
      <c r="D28" s="84"/>
      <c r="E28" s="85"/>
      <c r="G28" t="s">
        <v>50</v>
      </c>
    </row>
    <row r="29" spans="1:22" x14ac:dyDescent="0.25">
      <c r="G29" t="s">
        <v>51</v>
      </c>
    </row>
    <row r="30" spans="1:22" x14ac:dyDescent="0.25">
      <c r="A30" s="39" t="s">
        <v>52</v>
      </c>
      <c r="B30" s="40">
        <f>+B16</f>
        <v>16040</v>
      </c>
      <c r="C30" s="41" t="s">
        <v>12</v>
      </c>
    </row>
    <row r="31" spans="1:22" x14ac:dyDescent="0.25">
      <c r="A31" s="42" t="s">
        <v>53</v>
      </c>
      <c r="B31" s="43">
        <f>+B28-B26</f>
        <v>177.78</v>
      </c>
      <c r="C31" s="44" t="s">
        <v>54</v>
      </c>
    </row>
    <row r="32" spans="1:22" x14ac:dyDescent="0.25">
      <c r="A32" s="45"/>
      <c r="B32" s="73">
        <f>+B30/B31</f>
        <v>90.223872201597473</v>
      </c>
      <c r="C32" s="46" t="s">
        <v>55</v>
      </c>
      <c r="E32">
        <f>(B30/B32)</f>
        <v>177.78</v>
      </c>
    </row>
    <row r="34" spans="1:1" x14ac:dyDescent="0.25">
      <c r="A34" t="s">
        <v>56</v>
      </c>
    </row>
    <row r="35" spans="1:1" x14ac:dyDescent="0.25">
      <c r="A35" t="s">
        <v>57</v>
      </c>
    </row>
    <row r="36" spans="1:1" x14ac:dyDescent="0.25">
      <c r="A36" t="s">
        <v>58</v>
      </c>
    </row>
    <row r="38" spans="1:1" x14ac:dyDescent="0.25">
      <c r="A38" t="s">
        <v>59</v>
      </c>
    </row>
  </sheetData>
  <mergeCells count="1">
    <mergeCell ref="C28:E28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opLeftCell="A3" workbookViewId="0">
      <selection activeCell="C7" sqref="C7"/>
    </sheetView>
  </sheetViews>
  <sheetFormatPr baseColWidth="10" defaultColWidth="11.42578125" defaultRowHeight="15" x14ac:dyDescent="0.25"/>
  <cols>
    <col min="2" max="2" width="18" customWidth="1"/>
    <col min="3" max="3" width="123.140625" customWidth="1"/>
  </cols>
  <sheetData>
    <row r="1" spans="1:3" x14ac:dyDescent="0.25">
      <c r="A1" s="61"/>
      <c r="B1" s="59" t="s">
        <v>60</v>
      </c>
      <c r="C1" s="60" t="s">
        <v>61</v>
      </c>
    </row>
    <row r="2" spans="1:3" ht="75" x14ac:dyDescent="0.25">
      <c r="A2" s="86" t="s">
        <v>62</v>
      </c>
      <c r="B2" s="75" t="s">
        <v>63</v>
      </c>
      <c r="C2" s="78" t="s">
        <v>73</v>
      </c>
    </row>
    <row r="3" spans="1:3" ht="60" x14ac:dyDescent="0.25">
      <c r="A3" s="87"/>
      <c r="B3" s="76" t="s">
        <v>64</v>
      </c>
      <c r="C3" s="79" t="s">
        <v>74</v>
      </c>
    </row>
    <row r="4" spans="1:3" ht="90" x14ac:dyDescent="0.25">
      <c r="A4" s="88"/>
      <c r="B4" s="77" t="s">
        <v>65</v>
      </c>
      <c r="C4" s="80" t="s">
        <v>75</v>
      </c>
    </row>
    <row r="5" spans="1:3" ht="45" x14ac:dyDescent="0.25">
      <c r="A5" s="86" t="s">
        <v>32</v>
      </c>
      <c r="B5" s="55" t="s">
        <v>66</v>
      </c>
      <c r="C5" s="81" t="s">
        <v>76</v>
      </c>
    </row>
    <row r="6" spans="1:3" ht="60" x14ac:dyDescent="0.25">
      <c r="A6" s="87"/>
      <c r="B6" s="58" t="s">
        <v>67</v>
      </c>
      <c r="C6" s="82" t="s">
        <v>77</v>
      </c>
    </row>
    <row r="7" spans="1:3" ht="75" x14ac:dyDescent="0.25">
      <c r="A7" s="88"/>
      <c r="B7" s="56" t="s">
        <v>68</v>
      </c>
      <c r="C7" s="57" t="s">
        <v>78</v>
      </c>
    </row>
  </sheetData>
  <mergeCells count="2">
    <mergeCell ref="A2:A4"/>
    <mergeCell ref="A5:A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Cálculo</vt:lpstr>
      <vt:lpstr>Justificación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Alumno</cp:lastModifiedBy>
  <cp:revision/>
  <dcterms:created xsi:type="dcterms:W3CDTF">2021-01-12T19:33:14Z</dcterms:created>
  <dcterms:modified xsi:type="dcterms:W3CDTF">2021-06-23T02:39:41Z</dcterms:modified>
  <cp:category/>
  <cp:contentStatus/>
</cp:coreProperties>
</file>